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ochlomondtrossachs.sharepoint.com/sites/CorporateServices/Corporate Performance/Information Management/Environmental Information/EIR Requests/2023 requests/EIR Review 2023-010 Kempe Goldmine Bonds/Response/"/>
    </mc:Choice>
  </mc:AlternateContent>
  <xr:revisionPtr revIDLastSave="75" documentId="8_{C6701F70-973C-4313-9AD5-5C6770CF10E2}" xr6:coauthVersionLast="47" xr6:coauthVersionMax="47" xr10:uidLastSave="{F40A9DC6-34DF-43E1-B696-76D422920619}"/>
  <bookViews>
    <workbookView xWindow="-103" yWindow="-103" windowWidth="16663" windowHeight="8863" firstSheet="3" activeTab="6" xr2:uid="{00000000-000D-0000-FFFF-FFFF00000000}"/>
  </bookViews>
  <sheets>
    <sheet name="FINAL Stacks 3 4 5" sheetId="15" r:id="rId1"/>
    <sheet name="Stacks 5 6 7" sheetId="6" r:id="rId2"/>
    <sheet name="Stacks 7 8 9" sheetId="19" r:id="rId3"/>
    <sheet name="Summary" sheetId="20" r:id="rId4"/>
    <sheet name="GeotechRevised for 2017" sheetId="23" r:id="rId5"/>
    <sheet name="WaterRevised for 2017" sheetId="24" r:id="rId6"/>
    <sheet name="ECoW  " sheetId="27" r:id="rId7"/>
    <sheet name="LCoW " sheetId="26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5" l="1"/>
  <c r="M30" i="15"/>
  <c r="O58" i="15"/>
  <c r="O18" i="15" l="1"/>
  <c r="N140" i="15" l="1"/>
  <c r="N141" i="15"/>
  <c r="O141" i="15" s="1"/>
  <c r="N142" i="15"/>
  <c r="O142" i="15" s="1"/>
  <c r="N143" i="15"/>
  <c r="O143" i="15" s="1"/>
  <c r="N145" i="15" l="1"/>
  <c r="O140" i="15"/>
  <c r="O145" i="15" s="1"/>
  <c r="N124" i="15"/>
  <c r="O124" i="15" s="1"/>
  <c r="AR7" i="27" l="1"/>
  <c r="AQ7" i="27"/>
  <c r="AP7" i="27"/>
  <c r="AO7" i="27"/>
  <c r="AN7" i="27"/>
  <c r="AM7" i="27"/>
  <c r="AL7" i="27"/>
  <c r="AK7" i="27"/>
  <c r="AJ7" i="27"/>
  <c r="AI7" i="27"/>
  <c r="E9" i="27" l="1"/>
  <c r="M117" i="15"/>
  <c r="N117" i="15" s="1"/>
  <c r="O117" i="15" s="1"/>
  <c r="G117" i="15"/>
  <c r="N114" i="15"/>
  <c r="O114" i="15" s="1"/>
  <c r="N80" i="15"/>
  <c r="N75" i="15"/>
  <c r="O75" i="15" s="1"/>
  <c r="M19" i="15"/>
  <c r="N19" i="15" s="1"/>
  <c r="M27" i="15"/>
  <c r="N27" i="15" s="1"/>
  <c r="M44" i="15"/>
  <c r="M45" i="15"/>
  <c r="M57" i="15"/>
  <c r="N57" i="15" s="1"/>
  <c r="O57" i="15" s="1"/>
  <c r="M63" i="15"/>
  <c r="N63" i="15" s="1"/>
  <c r="O63" i="15" s="1"/>
  <c r="M64" i="15"/>
  <c r="M65" i="15"/>
  <c r="N65" i="15" s="1"/>
  <c r="O65" i="15" s="1"/>
  <c r="M66" i="15"/>
  <c r="M72" i="15"/>
  <c r="M73" i="15"/>
  <c r="M74" i="15"/>
  <c r="M77" i="15"/>
  <c r="N77" i="15" s="1"/>
  <c r="O77" i="15" s="1"/>
  <c r="M78" i="15"/>
  <c r="N78" i="15" s="1"/>
  <c r="O78" i="15" s="1"/>
  <c r="M79" i="15"/>
  <c r="M82" i="15"/>
  <c r="N82" i="15" s="1"/>
  <c r="O82" i="15" s="1"/>
  <c r="M101" i="15"/>
  <c r="M102" i="15"/>
  <c r="N102" i="15" s="1"/>
  <c r="O102" i="15" s="1"/>
  <c r="M110" i="15"/>
  <c r="M111" i="15"/>
  <c r="M112" i="15"/>
  <c r="M113" i="15"/>
  <c r="N113" i="15" s="1"/>
  <c r="O113" i="15" s="1"/>
  <c r="M119" i="15"/>
  <c r="N119" i="15" s="1"/>
  <c r="O119" i="15" s="1"/>
  <c r="M47" i="15"/>
  <c r="M48" i="15"/>
  <c r="M49" i="15"/>
  <c r="N49" i="15" s="1"/>
  <c r="O49" i="15" s="1"/>
  <c r="M50" i="15"/>
  <c r="M51" i="15"/>
  <c r="M52" i="15"/>
  <c r="M46" i="15"/>
  <c r="N46" i="15" s="1"/>
  <c r="O46" i="15" s="1"/>
  <c r="M34" i="15"/>
  <c r="M33" i="15"/>
  <c r="M32" i="15"/>
  <c r="N32" i="15" s="1"/>
  <c r="O32" i="15" s="1"/>
  <c r="M31" i="15"/>
  <c r="N31" i="15" s="1"/>
  <c r="O31" i="15" s="1"/>
  <c r="M29" i="15"/>
  <c r="M28" i="15"/>
  <c r="M12" i="15"/>
  <c r="N11" i="15"/>
  <c r="O11" i="15" s="1"/>
  <c r="N13" i="15"/>
  <c r="O13" i="15" s="1"/>
  <c r="N17" i="15"/>
  <c r="N21" i="15"/>
  <c r="O21" i="15" s="1"/>
  <c r="N22" i="15"/>
  <c r="O22" i="15" s="1"/>
  <c r="N24" i="15"/>
  <c r="O24" i="15" s="1"/>
  <c r="N55" i="15"/>
  <c r="N62" i="15"/>
  <c r="O62" i="15" s="1"/>
  <c r="N85" i="15"/>
  <c r="O85" i="15" s="1"/>
  <c r="N8" i="15"/>
  <c r="O8" i="15" s="1"/>
  <c r="N101" i="15" l="1"/>
  <c r="O101" i="15" s="1"/>
  <c r="M20" i="15"/>
  <c r="G55" i="19"/>
  <c r="G55" i="6"/>
  <c r="G63" i="15"/>
  <c r="D48" i="15" l="1"/>
  <c r="N48" i="15" s="1"/>
  <c r="O48" i="15" s="1"/>
  <c r="D47" i="15"/>
  <c r="N47" i="15" s="1"/>
  <c r="O47" i="15" s="1"/>
  <c r="D10" i="20" l="1"/>
  <c r="D20" i="20" s="1"/>
  <c r="E10" i="20"/>
  <c r="R10" i="20"/>
  <c r="S10" i="20"/>
  <c r="E11" i="20"/>
  <c r="F11" i="20"/>
  <c r="R11" i="20"/>
  <c r="S11" i="20"/>
  <c r="F12" i="20"/>
  <c r="G12" i="20"/>
  <c r="R12" i="20"/>
  <c r="S12" i="20"/>
  <c r="G13" i="20"/>
  <c r="H13" i="20"/>
  <c r="R13" i="20"/>
  <c r="S13" i="20"/>
  <c r="G14" i="20"/>
  <c r="H14" i="20"/>
  <c r="I14" i="20"/>
  <c r="R14" i="20"/>
  <c r="S14" i="20"/>
  <c r="H15" i="20"/>
  <c r="I15" i="20"/>
  <c r="J15" i="20"/>
  <c r="R15" i="20"/>
  <c r="S15" i="20"/>
  <c r="I16" i="20"/>
  <c r="J16" i="20"/>
  <c r="K16" i="20"/>
  <c r="R16" i="20"/>
  <c r="S16" i="20"/>
  <c r="K17" i="20"/>
  <c r="L17" i="20"/>
  <c r="R17" i="20"/>
  <c r="S17" i="20"/>
  <c r="K18" i="20"/>
  <c r="L18" i="20"/>
  <c r="M18" i="20"/>
  <c r="L19" i="20"/>
  <c r="M19" i="20"/>
  <c r="N19" i="20"/>
  <c r="N20" i="20" s="1"/>
  <c r="C20" i="20"/>
  <c r="I20" i="20"/>
  <c r="O21" i="20"/>
  <c r="P21" i="20"/>
  <c r="D45" i="6"/>
  <c r="G74" i="19"/>
  <c r="D62" i="19"/>
  <c r="I32" i="19"/>
  <c r="G44" i="19"/>
  <c r="G41" i="19"/>
  <c r="G38" i="19"/>
  <c r="G34" i="19"/>
  <c r="G31" i="19"/>
  <c r="D29" i="19"/>
  <c r="G27" i="19"/>
  <c r="D45" i="15"/>
  <c r="N45" i="15" s="1"/>
  <c r="O45" i="15" s="1"/>
  <c r="D44" i="15"/>
  <c r="N44" i="15" s="1"/>
  <c r="O44" i="15" s="1"/>
  <c r="G111" i="6"/>
  <c r="I111" i="6" s="1"/>
  <c r="J111" i="6" s="1"/>
  <c r="G109" i="6"/>
  <c r="J109" i="6" s="1"/>
  <c r="J106" i="6"/>
  <c r="G105" i="6"/>
  <c r="J105" i="6" s="1"/>
  <c r="G104" i="6"/>
  <c r="G103" i="6"/>
  <c r="G102" i="6"/>
  <c r="I100" i="6"/>
  <c r="G99" i="6"/>
  <c r="I99" i="6" s="1"/>
  <c r="G98" i="6"/>
  <c r="G97" i="6"/>
  <c r="G96" i="6"/>
  <c r="G94" i="6"/>
  <c r="I94" i="6" s="1"/>
  <c r="J94" i="6" s="1"/>
  <c r="G93" i="6"/>
  <c r="I93" i="6" s="1"/>
  <c r="J93" i="6" s="1"/>
  <c r="I77" i="6"/>
  <c r="J77" i="6" s="1"/>
  <c r="G74" i="6"/>
  <c r="I74" i="6" s="1"/>
  <c r="J74" i="6" s="1"/>
  <c r="I72" i="6"/>
  <c r="J72" i="6" s="1"/>
  <c r="G71" i="6"/>
  <c r="D71" i="6"/>
  <c r="G70" i="6"/>
  <c r="I70" i="6" s="1"/>
  <c r="J70" i="6" s="1"/>
  <c r="G69" i="6"/>
  <c r="I69" i="6" s="1"/>
  <c r="J69" i="6" s="1"/>
  <c r="J67" i="6"/>
  <c r="G66" i="6"/>
  <c r="G65" i="6"/>
  <c r="D65" i="6"/>
  <c r="G64" i="6"/>
  <c r="D64" i="6"/>
  <c r="G62" i="6"/>
  <c r="D62" i="6"/>
  <c r="G61" i="6"/>
  <c r="D61" i="6"/>
  <c r="G60" i="6"/>
  <c r="I60" i="6" s="1"/>
  <c r="G58" i="6"/>
  <c r="G57" i="6"/>
  <c r="I57" i="6" s="1"/>
  <c r="J57" i="6" s="1"/>
  <c r="G56" i="6"/>
  <c r="D56" i="6"/>
  <c r="D58" i="6" s="1"/>
  <c r="I55" i="6"/>
  <c r="J55" i="6" s="1"/>
  <c r="I54" i="6"/>
  <c r="J54" i="6" s="1"/>
  <c r="G50" i="6"/>
  <c r="I50" i="6" s="1"/>
  <c r="J50" i="6" s="1"/>
  <c r="I48" i="6"/>
  <c r="J48" i="6" s="1"/>
  <c r="G45" i="6"/>
  <c r="G44" i="6"/>
  <c r="D44" i="6"/>
  <c r="G43" i="6"/>
  <c r="D43" i="6"/>
  <c r="J43" i="6" s="1"/>
  <c r="G42" i="6"/>
  <c r="J42" i="6" s="1"/>
  <c r="G41" i="6"/>
  <c r="D41" i="6"/>
  <c r="G40" i="6"/>
  <c r="D40" i="6"/>
  <c r="J39" i="6"/>
  <c r="G38" i="6"/>
  <c r="D38" i="6"/>
  <c r="J38" i="6" s="1"/>
  <c r="G37" i="6"/>
  <c r="D37" i="6"/>
  <c r="G35" i="6"/>
  <c r="D35" i="6"/>
  <c r="G34" i="6"/>
  <c r="D34" i="6"/>
  <c r="D33" i="6"/>
  <c r="I33" i="6" s="1"/>
  <c r="I32" i="6"/>
  <c r="G31" i="6"/>
  <c r="D31" i="6"/>
  <c r="G30" i="6"/>
  <c r="D30" i="6"/>
  <c r="I30" i="6" s="1"/>
  <c r="G29" i="6"/>
  <c r="D29" i="6"/>
  <c r="G27" i="6"/>
  <c r="G26" i="6"/>
  <c r="G25" i="6"/>
  <c r="I25" i="6" s="1"/>
  <c r="J25" i="6" s="1"/>
  <c r="G24" i="6"/>
  <c r="I24" i="6" s="1"/>
  <c r="J24" i="6" s="1"/>
  <c r="G23" i="6"/>
  <c r="G22" i="6"/>
  <c r="G21" i="6"/>
  <c r="D21" i="6"/>
  <c r="D27" i="6" s="1"/>
  <c r="I20" i="6"/>
  <c r="J20" i="6" s="1"/>
  <c r="I17" i="6"/>
  <c r="J17" i="6" s="1"/>
  <c r="I16" i="6"/>
  <c r="J16" i="6" s="1"/>
  <c r="I15" i="6"/>
  <c r="J15" i="6" s="1"/>
  <c r="D14" i="6"/>
  <c r="I13" i="6"/>
  <c r="J13" i="6" s="1"/>
  <c r="J12" i="6"/>
  <c r="G12" i="6"/>
  <c r="I11" i="6"/>
  <c r="J11" i="6" s="1"/>
  <c r="I10" i="6"/>
  <c r="J10" i="6" s="1"/>
  <c r="G9" i="6"/>
  <c r="G14" i="6" s="1"/>
  <c r="D9" i="6"/>
  <c r="I9" i="6" s="1"/>
  <c r="J9" i="6" s="1"/>
  <c r="I8" i="6"/>
  <c r="J8" i="6" s="1"/>
  <c r="I5" i="6"/>
  <c r="J5" i="6" s="1"/>
  <c r="I58" i="6" l="1"/>
  <c r="J58" i="6" s="1"/>
  <c r="I71" i="6"/>
  <c r="J71" i="6" s="1"/>
  <c r="J44" i="6"/>
  <c r="I27" i="6"/>
  <c r="J27" i="6" s="1"/>
  <c r="I35" i="6"/>
  <c r="J45" i="6"/>
  <c r="I62" i="6"/>
  <c r="I31" i="6"/>
  <c r="I61" i="6"/>
  <c r="J64" i="6"/>
  <c r="I29" i="6"/>
  <c r="D66" i="6"/>
  <c r="J66" i="6" s="1"/>
  <c r="I34" i="6"/>
  <c r="J37" i="6"/>
  <c r="J41" i="6"/>
  <c r="I56" i="6"/>
  <c r="J56" i="6" s="1"/>
  <c r="I109" i="6"/>
  <c r="F20" i="20"/>
  <c r="J40" i="6"/>
  <c r="J65" i="6"/>
  <c r="H20" i="20"/>
  <c r="L20" i="20"/>
  <c r="M20" i="20"/>
  <c r="E20" i="20"/>
  <c r="G20" i="20"/>
  <c r="K20" i="20"/>
  <c r="J20" i="20"/>
  <c r="I14" i="6"/>
  <c r="J14" i="6" s="1"/>
  <c r="D22" i="6"/>
  <c r="I22" i="6" s="1"/>
  <c r="J22" i="6" s="1"/>
  <c r="D23" i="6"/>
  <c r="D96" i="6"/>
  <c r="D102" i="6"/>
  <c r="L10" i="6"/>
  <c r="I21" i="6"/>
  <c r="J21" i="6" s="1"/>
  <c r="D26" i="6" l="1"/>
  <c r="I26" i="6" s="1"/>
  <c r="J26" i="6" s="1"/>
  <c r="I23" i="6"/>
  <c r="J23" i="6" s="1"/>
  <c r="D104" i="6"/>
  <c r="J104" i="6" s="1"/>
  <c r="J102" i="6"/>
  <c r="D103" i="6"/>
  <c r="J103" i="6" s="1"/>
  <c r="D98" i="6"/>
  <c r="I98" i="6" s="1"/>
  <c r="I96" i="6"/>
  <c r="D97" i="6"/>
  <c r="I97" i="6" s="1"/>
  <c r="J78" i="6" l="1"/>
  <c r="J81" i="6" s="1"/>
  <c r="J83" i="6"/>
  <c r="I78" i="6"/>
  <c r="I81" i="6" s="1"/>
  <c r="J85" i="6" l="1"/>
  <c r="J86" i="6" s="1"/>
  <c r="I83" i="6"/>
  <c r="I85" i="6" l="1"/>
  <c r="I86" i="6" s="1"/>
  <c r="J88" i="6"/>
  <c r="J90" i="6" s="1"/>
  <c r="I88" i="6" l="1"/>
  <c r="I90" i="6" s="1"/>
  <c r="G82" i="15" l="1"/>
  <c r="D70" i="15"/>
  <c r="I39" i="15"/>
  <c r="G41" i="15"/>
  <c r="D36" i="15"/>
  <c r="G38" i="15"/>
  <c r="G34" i="15"/>
  <c r="I117" i="15" l="1"/>
  <c r="N17" i="24"/>
  <c r="N18" i="24" s="1"/>
  <c r="M17" i="24"/>
  <c r="M18" i="24" s="1"/>
  <c r="L17" i="24"/>
  <c r="L18" i="24" s="1"/>
  <c r="K17" i="24"/>
  <c r="K18" i="24" s="1"/>
  <c r="J17" i="24"/>
  <c r="J18" i="24" s="1"/>
  <c r="I17" i="24"/>
  <c r="I18" i="24" s="1"/>
  <c r="H17" i="24"/>
  <c r="H18" i="24" s="1"/>
  <c r="G17" i="24"/>
  <c r="G18" i="24" s="1"/>
  <c r="F17" i="24"/>
  <c r="F18" i="24" s="1"/>
  <c r="E17" i="24"/>
  <c r="E18" i="24" s="1"/>
  <c r="N16" i="24"/>
  <c r="M16" i="24"/>
  <c r="L16" i="24"/>
  <c r="K16" i="24"/>
  <c r="J16" i="24"/>
  <c r="I16" i="24"/>
  <c r="H16" i="24"/>
  <c r="G16" i="24"/>
  <c r="F16" i="24"/>
  <c r="E16" i="24"/>
  <c r="N14" i="24"/>
  <c r="N15" i="24" s="1"/>
  <c r="M14" i="24"/>
  <c r="M15" i="24" s="1"/>
  <c r="L14" i="24"/>
  <c r="L15" i="24" s="1"/>
  <c r="K14" i="24"/>
  <c r="K15" i="24" s="1"/>
  <c r="J14" i="24"/>
  <c r="J15" i="24" s="1"/>
  <c r="I14" i="24"/>
  <c r="I15" i="24" s="1"/>
  <c r="H14" i="24"/>
  <c r="H15" i="24" s="1"/>
  <c r="G14" i="24"/>
  <c r="G15" i="24" s="1"/>
  <c r="F14" i="24"/>
  <c r="F15" i="24" s="1"/>
  <c r="E14" i="24"/>
  <c r="E15" i="24" s="1"/>
  <c r="N8" i="24"/>
  <c r="M8" i="24"/>
  <c r="M9" i="24" s="1"/>
  <c r="L8" i="24"/>
  <c r="L9" i="24" s="1"/>
  <c r="K8" i="24"/>
  <c r="J8" i="24"/>
  <c r="I8" i="24"/>
  <c r="I9" i="24" s="1"/>
  <c r="H8" i="24"/>
  <c r="H9" i="24" s="1"/>
  <c r="G8" i="24"/>
  <c r="F8" i="24"/>
  <c r="E8" i="24"/>
  <c r="E9" i="24" s="1"/>
  <c r="P13" i="23"/>
  <c r="N13" i="23"/>
  <c r="L13" i="23"/>
  <c r="J13" i="23"/>
  <c r="H13" i="23"/>
  <c r="F13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P8" i="23"/>
  <c r="P9" i="23" s="1"/>
  <c r="O8" i="23"/>
  <c r="O9" i="23" s="1"/>
  <c r="N8" i="23"/>
  <c r="N9" i="23" s="1"/>
  <c r="N14" i="23" s="1"/>
  <c r="M8" i="23"/>
  <c r="M9" i="23" s="1"/>
  <c r="L8" i="23"/>
  <c r="L9" i="23" s="1"/>
  <c r="K8" i="23"/>
  <c r="K9" i="23" s="1"/>
  <c r="J8" i="23"/>
  <c r="J9" i="23" s="1"/>
  <c r="I8" i="23"/>
  <c r="I9" i="23" s="1"/>
  <c r="H8" i="23"/>
  <c r="H9" i="23" s="1"/>
  <c r="G8" i="23"/>
  <c r="G9" i="23" s="1"/>
  <c r="F8" i="23"/>
  <c r="F9" i="23" s="1"/>
  <c r="E8" i="23"/>
  <c r="E9" i="23" s="1"/>
  <c r="G9" i="24" l="1"/>
  <c r="G10" i="24" s="1"/>
  <c r="G19" i="24" s="1"/>
  <c r="K9" i="24"/>
  <c r="K10" i="24" s="1"/>
  <c r="K19" i="24" s="1"/>
  <c r="J117" i="15"/>
  <c r="I10" i="24"/>
  <c r="I19" i="24" s="1"/>
  <c r="F9" i="24"/>
  <c r="F10" i="24" s="1"/>
  <c r="F19" i="24" s="1"/>
  <c r="J9" i="24"/>
  <c r="J10" i="24" s="1"/>
  <c r="J19" i="24" s="1"/>
  <c r="N9" i="24"/>
  <c r="N10" i="24" s="1"/>
  <c r="N19" i="24" s="1"/>
  <c r="H10" i="24"/>
  <c r="H19" i="24" s="1"/>
  <c r="L10" i="24"/>
  <c r="L19" i="24" s="1"/>
  <c r="E10" i="24"/>
  <c r="E19" i="24" s="1"/>
  <c r="M10" i="24"/>
  <c r="M19" i="24" s="1"/>
  <c r="G14" i="23"/>
  <c r="H14" i="23"/>
  <c r="L14" i="23"/>
  <c r="E14" i="23"/>
  <c r="F14" i="23"/>
  <c r="J14" i="23"/>
  <c r="D20" i="24" l="1"/>
  <c r="C15" i="23"/>
  <c r="G115" i="15" s="1"/>
  <c r="J115" i="15" s="1"/>
  <c r="N115" i="15" s="1"/>
  <c r="O115" i="15" s="1"/>
  <c r="G107" i="6"/>
  <c r="J107" i="6" s="1"/>
  <c r="G107" i="19"/>
  <c r="G108" i="19"/>
  <c r="G108" i="6"/>
  <c r="G116" i="15" l="1"/>
  <c r="J116" i="15" s="1"/>
  <c r="N116" i="15" s="1"/>
  <c r="O116" i="15" s="1"/>
  <c r="I116" i="15"/>
  <c r="I108" i="6"/>
  <c r="I112" i="6" s="1"/>
  <c r="J108" i="6"/>
  <c r="J112" i="6" s="1"/>
  <c r="J114" i="6" s="1"/>
  <c r="J115" i="6" s="1"/>
  <c r="J117" i="6" s="1"/>
  <c r="J119" i="6" s="1"/>
  <c r="J121" i="6" s="1"/>
  <c r="D65" i="19"/>
  <c r="D64" i="19"/>
  <c r="D66" i="19" s="1"/>
  <c r="D45" i="19"/>
  <c r="D38" i="19"/>
  <c r="D37" i="19"/>
  <c r="D41" i="19"/>
  <c r="J41" i="19" s="1"/>
  <c r="D40" i="19"/>
  <c r="D44" i="19"/>
  <c r="D43" i="19"/>
  <c r="G111" i="19"/>
  <c r="I111" i="19" s="1"/>
  <c r="J111" i="19" s="1"/>
  <c r="G109" i="19"/>
  <c r="I109" i="19" s="1"/>
  <c r="J108" i="19"/>
  <c r="I108" i="19"/>
  <c r="J107" i="19"/>
  <c r="J106" i="19"/>
  <c r="G105" i="19"/>
  <c r="J105" i="19" s="1"/>
  <c r="G104" i="19"/>
  <c r="G103" i="19"/>
  <c r="G102" i="19"/>
  <c r="I100" i="19"/>
  <c r="G99" i="19"/>
  <c r="I99" i="19" s="1"/>
  <c r="G98" i="19"/>
  <c r="G97" i="19"/>
  <c r="G96" i="19"/>
  <c r="G94" i="19"/>
  <c r="I94" i="19" s="1"/>
  <c r="J94" i="19" s="1"/>
  <c r="G93" i="19"/>
  <c r="I93" i="19" s="1"/>
  <c r="J93" i="19" s="1"/>
  <c r="I77" i="19"/>
  <c r="J77" i="19" s="1"/>
  <c r="I74" i="19"/>
  <c r="J74" i="19" s="1"/>
  <c r="I72" i="19"/>
  <c r="J72" i="19" s="1"/>
  <c r="G71" i="19"/>
  <c r="D71" i="19"/>
  <c r="G70" i="19"/>
  <c r="I70" i="19" s="1"/>
  <c r="J70" i="19" s="1"/>
  <c r="G69" i="19"/>
  <c r="I69" i="19" s="1"/>
  <c r="J69" i="19" s="1"/>
  <c r="J67" i="19"/>
  <c r="G66" i="19"/>
  <c r="G65" i="19"/>
  <c r="G64" i="19"/>
  <c r="G62" i="19"/>
  <c r="I62" i="19" s="1"/>
  <c r="G61" i="19"/>
  <c r="D61" i="19"/>
  <c r="D96" i="19" s="1"/>
  <c r="G60" i="19"/>
  <c r="I60" i="19" s="1"/>
  <c r="G58" i="19"/>
  <c r="G57" i="19"/>
  <c r="I57" i="19" s="1"/>
  <c r="J57" i="19" s="1"/>
  <c r="G56" i="19"/>
  <c r="D56" i="19"/>
  <c r="D58" i="19" s="1"/>
  <c r="I55" i="19"/>
  <c r="J55" i="19" s="1"/>
  <c r="I54" i="19"/>
  <c r="J54" i="19" s="1"/>
  <c r="G50" i="19"/>
  <c r="I50" i="19" s="1"/>
  <c r="J50" i="19" s="1"/>
  <c r="I48" i="19"/>
  <c r="J48" i="19" s="1"/>
  <c r="G45" i="19"/>
  <c r="J44" i="19"/>
  <c r="G43" i="19"/>
  <c r="J43" i="19" s="1"/>
  <c r="G42" i="19"/>
  <c r="J42" i="19" s="1"/>
  <c r="G40" i="19"/>
  <c r="J39" i="19"/>
  <c r="G37" i="19"/>
  <c r="G35" i="19"/>
  <c r="D35" i="19"/>
  <c r="D34" i="19"/>
  <c r="I34" i="19" s="1"/>
  <c r="D33" i="19"/>
  <c r="I33" i="19" s="1"/>
  <c r="D31" i="19"/>
  <c r="G30" i="19"/>
  <c r="D30" i="19"/>
  <c r="I30" i="19" s="1"/>
  <c r="G29" i="19"/>
  <c r="I29" i="19" s="1"/>
  <c r="G26" i="19"/>
  <c r="G25" i="19"/>
  <c r="I25" i="19" s="1"/>
  <c r="J25" i="19" s="1"/>
  <c r="G24" i="19"/>
  <c r="I24" i="19" s="1"/>
  <c r="J24" i="19" s="1"/>
  <c r="G23" i="19"/>
  <c r="G22" i="19"/>
  <c r="G21" i="19"/>
  <c r="D21" i="19"/>
  <c r="D23" i="19" s="1"/>
  <c r="I20" i="19"/>
  <c r="J20" i="19" s="1"/>
  <c r="I17" i="19"/>
  <c r="J17" i="19" s="1"/>
  <c r="I16" i="19"/>
  <c r="J16" i="19" s="1"/>
  <c r="I15" i="19"/>
  <c r="J15" i="19" s="1"/>
  <c r="D14" i="19"/>
  <c r="I13" i="19"/>
  <c r="J13" i="19" s="1"/>
  <c r="J12" i="19"/>
  <c r="G12" i="19"/>
  <c r="I11" i="19"/>
  <c r="J11" i="19" s="1"/>
  <c r="I10" i="19"/>
  <c r="J10" i="19" s="1"/>
  <c r="G9" i="19"/>
  <c r="G14" i="19" s="1"/>
  <c r="D9" i="19"/>
  <c r="I8" i="19"/>
  <c r="J8" i="19" s="1"/>
  <c r="I5" i="19"/>
  <c r="J5" i="19" s="1"/>
  <c r="D73" i="15"/>
  <c r="N73" i="15" s="1"/>
  <c r="O73" i="15" s="1"/>
  <c r="D72" i="15"/>
  <c r="D51" i="15"/>
  <c r="D50" i="15"/>
  <c r="N50" i="15" s="1"/>
  <c r="O50" i="15" s="1"/>
  <c r="D52" i="15"/>
  <c r="N52" i="15" s="1"/>
  <c r="J45" i="15"/>
  <c r="G119" i="15"/>
  <c r="J114" i="15"/>
  <c r="G113" i="15"/>
  <c r="J113" i="15" s="1"/>
  <c r="G112" i="15"/>
  <c r="G111" i="15"/>
  <c r="G110" i="15"/>
  <c r="I108" i="15"/>
  <c r="G107" i="15"/>
  <c r="I107" i="15" s="1"/>
  <c r="G106" i="15"/>
  <c r="G105" i="15"/>
  <c r="G104" i="15"/>
  <c r="G102" i="15"/>
  <c r="I102" i="15" s="1"/>
  <c r="J102" i="15" s="1"/>
  <c r="G101" i="15"/>
  <c r="I101" i="15" s="1"/>
  <c r="I85" i="15"/>
  <c r="J85" i="15" s="1"/>
  <c r="I82" i="15"/>
  <c r="J82" i="15" s="1"/>
  <c r="I80" i="15"/>
  <c r="J80" i="15" s="1"/>
  <c r="G79" i="15"/>
  <c r="D79" i="15"/>
  <c r="G78" i="15"/>
  <c r="I78" i="15" s="1"/>
  <c r="J78" i="15" s="1"/>
  <c r="G77" i="15"/>
  <c r="I77" i="15" s="1"/>
  <c r="J77" i="15" s="1"/>
  <c r="J75" i="15"/>
  <c r="G74" i="15"/>
  <c r="G73" i="15"/>
  <c r="G72" i="15"/>
  <c r="G70" i="15"/>
  <c r="G69" i="15"/>
  <c r="D69" i="15"/>
  <c r="G68" i="15"/>
  <c r="I68" i="15" s="1"/>
  <c r="G66" i="15"/>
  <c r="G65" i="15"/>
  <c r="I65" i="15" s="1"/>
  <c r="J65" i="15" s="1"/>
  <c r="G64" i="15"/>
  <c r="D64" i="15"/>
  <c r="N64" i="15" s="1"/>
  <c r="O64" i="15" s="1"/>
  <c r="I63" i="15"/>
  <c r="J63" i="15" s="1"/>
  <c r="I62" i="15"/>
  <c r="J62" i="15" s="1"/>
  <c r="G57" i="15"/>
  <c r="I57" i="15" s="1"/>
  <c r="J57" i="15" s="1"/>
  <c r="I55" i="15"/>
  <c r="J55" i="15" s="1"/>
  <c r="G52" i="15"/>
  <c r="G50" i="15"/>
  <c r="J50" i="15" s="1"/>
  <c r="G49" i="15"/>
  <c r="J49" i="15" s="1"/>
  <c r="G47" i="15"/>
  <c r="J47" i="15" s="1"/>
  <c r="J46" i="15"/>
  <c r="G44" i="15"/>
  <c r="J44" i="15" s="1"/>
  <c r="G42" i="15"/>
  <c r="D42" i="15"/>
  <c r="D41" i="15"/>
  <c r="D40" i="15"/>
  <c r="I40" i="15" s="1"/>
  <c r="D38" i="15"/>
  <c r="I38" i="15" s="1"/>
  <c r="G37" i="15"/>
  <c r="D37" i="15"/>
  <c r="G36" i="15"/>
  <c r="I36" i="15" s="1"/>
  <c r="G33" i="15"/>
  <c r="G32" i="15"/>
  <c r="I32" i="15" s="1"/>
  <c r="J32" i="15" s="1"/>
  <c r="G31" i="15"/>
  <c r="I31" i="15" s="1"/>
  <c r="J31" i="15" s="1"/>
  <c r="G30" i="15"/>
  <c r="G29" i="15"/>
  <c r="G28" i="15"/>
  <c r="D28" i="15"/>
  <c r="I27" i="15"/>
  <c r="J27" i="15" s="1"/>
  <c r="I24" i="15"/>
  <c r="J24" i="15" s="1"/>
  <c r="I22" i="15"/>
  <c r="J22" i="15" s="1"/>
  <c r="I21" i="15"/>
  <c r="J21" i="15" s="1"/>
  <c r="D20" i="15"/>
  <c r="N20" i="15" s="1"/>
  <c r="O20" i="15" s="1"/>
  <c r="I19" i="15"/>
  <c r="J19" i="15" s="1"/>
  <c r="J18" i="15"/>
  <c r="I17" i="15"/>
  <c r="J17" i="15" s="1"/>
  <c r="I13" i="15"/>
  <c r="J13" i="15" s="1"/>
  <c r="G12" i="15"/>
  <c r="G20" i="15" s="1"/>
  <c r="D12" i="15"/>
  <c r="N12" i="15" s="1"/>
  <c r="O12" i="15" s="1"/>
  <c r="I11" i="15"/>
  <c r="J11" i="15" s="1"/>
  <c r="I8" i="15"/>
  <c r="I58" i="19" l="1"/>
  <c r="J58" i="19" s="1"/>
  <c r="D110" i="15"/>
  <c r="N110" i="15" s="1"/>
  <c r="O110" i="15" s="1"/>
  <c r="I37" i="15"/>
  <c r="D34" i="15"/>
  <c r="N28" i="15"/>
  <c r="O28" i="15" s="1"/>
  <c r="I79" i="15"/>
  <c r="J79" i="15" s="1"/>
  <c r="N79" i="15"/>
  <c r="O79" i="15" s="1"/>
  <c r="J109" i="19"/>
  <c r="J40" i="19"/>
  <c r="D74" i="15"/>
  <c r="N72" i="15"/>
  <c r="O72" i="15" s="1"/>
  <c r="I119" i="15"/>
  <c r="J119" i="15" s="1"/>
  <c r="J51" i="15"/>
  <c r="N51" i="15"/>
  <c r="O51" i="15" s="1"/>
  <c r="I42" i="15"/>
  <c r="C3" i="20"/>
  <c r="I23" i="20"/>
  <c r="C56" i="20" s="1"/>
  <c r="J45" i="19"/>
  <c r="J73" i="15"/>
  <c r="J37" i="19"/>
  <c r="D102" i="19"/>
  <c r="D22" i="19"/>
  <c r="I22" i="19" s="1"/>
  <c r="J22" i="19" s="1"/>
  <c r="I71" i="19"/>
  <c r="J71" i="19" s="1"/>
  <c r="I114" i="6"/>
  <c r="I115" i="6" s="1"/>
  <c r="I117" i="6" s="1"/>
  <c r="I119" i="6" s="1"/>
  <c r="I121" i="6" s="1"/>
  <c r="B3" i="20" s="1"/>
  <c r="I20" i="15"/>
  <c r="J20" i="15" s="1"/>
  <c r="I41" i="15"/>
  <c r="D104" i="15"/>
  <c r="D105" i="15" s="1"/>
  <c r="I105" i="15" s="1"/>
  <c r="I70" i="15"/>
  <c r="I9" i="19"/>
  <c r="J9" i="19" s="1"/>
  <c r="I56" i="19"/>
  <c r="J56" i="19" s="1"/>
  <c r="I61" i="19"/>
  <c r="I35" i="19"/>
  <c r="I69" i="15"/>
  <c r="J48" i="15"/>
  <c r="J38" i="19"/>
  <c r="J65" i="19"/>
  <c r="J102" i="19"/>
  <c r="L10" i="19"/>
  <c r="I14" i="19"/>
  <c r="J14" i="19" s="1"/>
  <c r="D27" i="19"/>
  <c r="I27" i="19" s="1"/>
  <c r="J27" i="19" s="1"/>
  <c r="I21" i="19"/>
  <c r="J21" i="19" s="1"/>
  <c r="I31" i="19"/>
  <c r="D26" i="19"/>
  <c r="I26" i="19" s="1"/>
  <c r="J26" i="19" s="1"/>
  <c r="I23" i="19"/>
  <c r="J23" i="19" s="1"/>
  <c r="D97" i="19"/>
  <c r="I97" i="19" s="1"/>
  <c r="D98" i="19"/>
  <c r="I98" i="19" s="1"/>
  <c r="I96" i="19"/>
  <c r="J66" i="19"/>
  <c r="J64" i="19"/>
  <c r="D103" i="19"/>
  <c r="J103" i="19" s="1"/>
  <c r="D104" i="19"/>
  <c r="J104" i="19" s="1"/>
  <c r="J52" i="15"/>
  <c r="J101" i="15"/>
  <c r="D30" i="15"/>
  <c r="N30" i="15" s="1"/>
  <c r="O30" i="15" s="1"/>
  <c r="I28" i="15"/>
  <c r="J28" i="15" s="1"/>
  <c r="I64" i="15"/>
  <c r="J64" i="15" s="1"/>
  <c r="D66" i="15"/>
  <c r="I12" i="15"/>
  <c r="J72" i="15"/>
  <c r="D29" i="15"/>
  <c r="J110" i="15" l="1"/>
  <c r="D112" i="15"/>
  <c r="N112" i="15" s="1"/>
  <c r="O112" i="15" s="1"/>
  <c r="D111" i="15"/>
  <c r="J111" i="15" s="1"/>
  <c r="I104" i="15"/>
  <c r="I29" i="15"/>
  <c r="J29" i="15" s="1"/>
  <c r="N29" i="15"/>
  <c r="O29" i="15" s="1"/>
  <c r="D106" i="15"/>
  <c r="I106" i="15" s="1"/>
  <c r="I34" i="15"/>
  <c r="J34" i="15" s="1"/>
  <c r="N34" i="15"/>
  <c r="O34" i="15" s="1"/>
  <c r="I66" i="15"/>
  <c r="J66" i="15" s="1"/>
  <c r="N66" i="15"/>
  <c r="J74" i="15"/>
  <c r="N74" i="15"/>
  <c r="I112" i="19"/>
  <c r="I114" i="19" s="1"/>
  <c r="I115" i="19" s="1"/>
  <c r="J78" i="19"/>
  <c r="J81" i="19" s="1"/>
  <c r="J112" i="19"/>
  <c r="I78" i="19"/>
  <c r="I81" i="19" s="1"/>
  <c r="D33" i="15"/>
  <c r="I30" i="15"/>
  <c r="J30" i="15" s="1"/>
  <c r="J12" i="15"/>
  <c r="J112" i="15" l="1"/>
  <c r="I120" i="15"/>
  <c r="I130" i="15" s="1"/>
  <c r="I131" i="15" s="1"/>
  <c r="I133" i="15" s="1"/>
  <c r="I135" i="15" s="1"/>
  <c r="N111" i="15"/>
  <c r="O111" i="15" s="1"/>
  <c r="O120" i="15" s="1"/>
  <c r="J120" i="15"/>
  <c r="J130" i="15" s="1"/>
  <c r="J131" i="15" s="1"/>
  <c r="J133" i="15" s="1"/>
  <c r="I33" i="15"/>
  <c r="J33" i="15" s="1"/>
  <c r="J86" i="15" s="1"/>
  <c r="N33" i="15"/>
  <c r="J83" i="19"/>
  <c r="J85" i="19" s="1"/>
  <c r="J86" i="19" s="1"/>
  <c r="I117" i="19"/>
  <c r="I119" i="19" s="1"/>
  <c r="I83" i="19"/>
  <c r="J114" i="19"/>
  <c r="J115" i="19" s="1"/>
  <c r="N120" i="15" l="1"/>
  <c r="I86" i="15"/>
  <c r="N86" i="15"/>
  <c r="N89" i="15" s="1"/>
  <c r="O33" i="15"/>
  <c r="O86" i="15" s="1"/>
  <c r="N130" i="15"/>
  <c r="J88" i="19"/>
  <c r="J90" i="19" s="1"/>
  <c r="I85" i="19"/>
  <c r="I86" i="19" s="1"/>
  <c r="J117" i="19"/>
  <c r="J119" i="19" s="1"/>
  <c r="J135" i="15"/>
  <c r="I89" i="15"/>
  <c r="I91" i="15" s="1"/>
  <c r="J89" i="15"/>
  <c r="J91" i="15" s="1"/>
  <c r="O89" i="15" l="1"/>
  <c r="O91" i="15" s="1"/>
  <c r="N131" i="15"/>
  <c r="N133" i="15" s="1"/>
  <c r="O130" i="15"/>
  <c r="O131" i="15" s="1"/>
  <c r="O133" i="15" s="1"/>
  <c r="N91" i="15"/>
  <c r="J121" i="19"/>
  <c r="I88" i="19"/>
  <c r="I90" i="19" s="1"/>
  <c r="I121" i="19" s="1"/>
  <c r="B4" i="20" s="1"/>
  <c r="I93" i="15"/>
  <c r="I94" i="15" s="1"/>
  <c r="J93" i="15"/>
  <c r="J94" i="15" s="1"/>
  <c r="N93" i="15" l="1"/>
  <c r="N94" i="15" s="1"/>
  <c r="N96" i="15" s="1"/>
  <c r="N98" i="15" s="1"/>
  <c r="O93" i="15"/>
  <c r="O94" i="15" s="1"/>
  <c r="O96" i="15" s="1"/>
  <c r="O98" i="15" s="1"/>
  <c r="N135" i="15"/>
  <c r="O135" i="15"/>
  <c r="C4" i="20"/>
  <c r="K23" i="20"/>
  <c r="C57" i="20" s="1"/>
  <c r="J96" i="15"/>
  <c r="J98" i="15" s="1"/>
  <c r="J137" i="15" s="1"/>
  <c r="I96" i="15"/>
  <c r="I98" i="15" s="1"/>
  <c r="I137" i="15" s="1"/>
  <c r="N137" i="15" l="1"/>
  <c r="N147" i="15" s="1"/>
  <c r="G25" i="20" s="1"/>
  <c r="O137" i="15"/>
  <c r="O147" i="15" s="1"/>
  <c r="J147" i="15"/>
  <c r="I147" i="15"/>
  <c r="B2" i="20"/>
  <c r="D23" i="20"/>
  <c r="C54" i="20" s="1"/>
  <c r="C2" i="20"/>
  <c r="G23" i="20"/>
  <c r="C55" i="20" s="1"/>
  <c r="G24" i="20" l="1"/>
</calcChain>
</file>

<file path=xl/sharedStrings.xml><?xml version="1.0" encoding="utf-8"?>
<sst xmlns="http://schemas.openxmlformats.org/spreadsheetml/2006/main" count="1137" uniqueCount="408">
  <si>
    <t>SCOTGOLD RESOURCES LTD - CONONISH GOLD PROSPECT</t>
  </si>
  <si>
    <t>Phase A Bond</t>
  </si>
  <si>
    <t>Phase B Bond</t>
  </si>
  <si>
    <t>2018 Bond Max Exposure RPI to Feb 2018</t>
  </si>
  <si>
    <t xml:space="preserve">RESTORATION COSTINGS </t>
  </si>
  <si>
    <t>RPI 2012-2017</t>
  </si>
  <si>
    <t>RPI Feb 2012 - Feb 2018</t>
  </si>
  <si>
    <t>RPI Feb 2018 - Nov 2022</t>
  </si>
  <si>
    <t>carried forward with RPI uplift</t>
  </si>
  <si>
    <t>Pre-deposition</t>
  </si>
  <si>
    <t>Max Exposure</t>
  </si>
  <si>
    <t xml:space="preserve">2018 RPI Adusted </t>
  </si>
  <si>
    <t>Item</t>
  </si>
  <si>
    <t>Description</t>
  </si>
  <si>
    <t>Unit</t>
  </si>
  <si>
    <t>2017 Quantity</t>
  </si>
  <si>
    <t>Rate £</t>
  </si>
  <si>
    <t>2012 SLR Rate</t>
  </si>
  <si>
    <t>2017 Rate</t>
  </si>
  <si>
    <t>2012 SLR Amount £</t>
  </si>
  <si>
    <t>2017 Amount</t>
  </si>
  <si>
    <t xml:space="preserve">Assumptions (RPI Feb 2012-Oct 2017 *1.153)
</t>
  </si>
  <si>
    <t>Equipment on-costs</t>
  </si>
  <si>
    <t>Sum</t>
  </si>
  <si>
    <t>RPI</t>
  </si>
  <si>
    <t>Removal of Site Infrastructure</t>
  </si>
  <si>
    <t>Removal of processing plant and buildings</t>
  </si>
  <si>
    <t>Break out foundations and disposal off site</t>
  </si>
  <si>
    <r>
      <t>m</t>
    </r>
    <r>
      <rPr>
        <vertAlign val="superscript"/>
        <sz val="10"/>
        <rFont val="Arial"/>
        <family val="2"/>
      </rPr>
      <t>3</t>
    </r>
  </si>
  <si>
    <t>RPI rate</t>
  </si>
  <si>
    <t xml:space="preserve">225mm (overestimate, some not as deep) </t>
  </si>
  <si>
    <t>Removal of base of oil/fuel storage area, to licensed facility</t>
  </si>
  <si>
    <t>Removal of security fencing</t>
  </si>
  <si>
    <t>removed as no security fencing required/installed</t>
  </si>
  <si>
    <t>Removal of water circulation infrastructure (pipe)</t>
  </si>
  <si>
    <t>m</t>
  </si>
  <si>
    <t xml:space="preserve">1880m pipes (worst case as could be buried in situ) </t>
  </si>
  <si>
    <t>2.5.1</t>
  </si>
  <si>
    <t>Regrading open drains</t>
  </si>
  <si>
    <t>9,730m3 material</t>
  </si>
  <si>
    <t>2.5.2</t>
  </si>
  <si>
    <t>Break out concrete berms and disposal off site</t>
  </si>
  <si>
    <r>
      <t>m</t>
    </r>
    <r>
      <rPr>
        <vertAlign val="superscript"/>
        <sz val="10"/>
        <rFont val="Arial"/>
        <family val="2"/>
      </rPr>
      <t>2</t>
    </r>
  </si>
  <si>
    <t>as per 2.2</t>
  </si>
  <si>
    <t xml:space="preserve">inlet berms concrete (worst case removal offsite) </t>
  </si>
  <si>
    <t>Removal of powerlines</t>
  </si>
  <si>
    <t>Removal of AEA bridge structure off site</t>
  </si>
  <si>
    <t>removal of Forestry burn 'bridge' off site</t>
  </si>
  <si>
    <t xml:space="preserve">Track scarifying </t>
  </si>
  <si>
    <t>Processing Plant Area</t>
  </si>
  <si>
    <t>3.1.1</t>
  </si>
  <si>
    <t>Rooting of plant area</t>
  </si>
  <si>
    <t>3.1.2</t>
  </si>
  <si>
    <t>Lift turves from plant area bund (30% turf recovery)</t>
  </si>
  <si>
    <t xml:space="preserve">30% of 6,000m2 bund area </t>
  </si>
  <si>
    <t>3.1.3</t>
  </si>
  <si>
    <t>Transport, store and manage stripped turves</t>
  </si>
  <si>
    <t>3.1.4</t>
  </si>
  <si>
    <t>Lift and store mulch/soil</t>
  </si>
  <si>
    <t>70% of 6,000m2 bund area, 0.4m depth</t>
  </si>
  <si>
    <t>3.1.5</t>
  </si>
  <si>
    <t>Regrade glacial till from screening mound and back edge of plant area</t>
  </si>
  <si>
    <t>50% bund provides 0.3-0.5m cover on plant and bund area</t>
  </si>
  <si>
    <t>3.1.6</t>
  </si>
  <si>
    <t>Rooting of contractors compound</t>
  </si>
  <si>
    <t>3.1.7</t>
  </si>
  <si>
    <t>Lift and spread mulch/soil</t>
  </si>
  <si>
    <t>cf. 3.1.4</t>
  </si>
  <si>
    <t>3.1.8</t>
  </si>
  <si>
    <t>Replace turves following works to regrade glacial till incl pegging</t>
  </si>
  <si>
    <t>cf. 3.1.3</t>
  </si>
  <si>
    <t>3.2.A</t>
  </si>
  <si>
    <t>TSF Area (pre-tailings placement Phase A Bond)</t>
  </si>
  <si>
    <t xml:space="preserve"> 1:1 prepared, 1:2 stripped - worst case (Stack 1=6,665m2)</t>
  </si>
  <si>
    <t>3.2.A.1</t>
  </si>
  <si>
    <t>Stack 1:1 rock removed to mine</t>
  </si>
  <si>
    <t>assumed basal drain rock layer is removed to mine</t>
  </si>
  <si>
    <t>3.2.A.2</t>
  </si>
  <si>
    <t>Stack 1:1 Lift and spread soil/mulch (70%)</t>
  </si>
  <si>
    <t>worst case, assumed in separate storage</t>
  </si>
  <si>
    <t>3.2.A.3</t>
  </si>
  <si>
    <t>Stack 1:1 re-placement of turf (30%)</t>
  </si>
  <si>
    <t>3.4..A.4i</t>
  </si>
  <si>
    <t>Stack 1:2 regrade</t>
  </si>
  <si>
    <t>assumed 1:2  stripped 4 months ahead of rock placement</t>
  </si>
  <si>
    <t>3.2.A.4</t>
  </si>
  <si>
    <t xml:space="preserve">Stack 1:2 spread mulch </t>
  </si>
  <si>
    <t>3.2.A.5</t>
  </si>
  <si>
    <t>Stack 1:2 re-placement of turf (30%)</t>
  </si>
  <si>
    <t>3.2.A.6</t>
  </si>
  <si>
    <t>Application of geojute to stabilise peaty soil</t>
  </si>
  <si>
    <t>worst case 50% 1:1 and 1:2</t>
  </si>
  <si>
    <t>3.2.B</t>
  </si>
  <si>
    <t>TSF Area (maximum extent - worst case Phase B Bond)</t>
  </si>
  <si>
    <t>3.2.B.1</t>
  </si>
  <si>
    <t>Stack 3:2 lift and spread soil/mulch</t>
  </si>
  <si>
    <t>assumed 3:2 has tailings but no restoration</t>
  </si>
  <si>
    <t>3.2.B.2</t>
  </si>
  <si>
    <t>Stack 3:2 place turf</t>
  </si>
  <si>
    <t>3.2.B.3</t>
  </si>
  <si>
    <t>Stack 4 remove rock to u/g</t>
  </si>
  <si>
    <t>assumed 4 is part prepared e.g. 4 months advance for placement (worst case, assumed basal drain rock layer is removed to mine</t>
  </si>
  <si>
    <t>3.2.B.4</t>
  </si>
  <si>
    <t>Stack 4 replace soil/mulch</t>
  </si>
  <si>
    <t>assumed 4 is prepared 4 months ahead for placement</t>
  </si>
  <si>
    <t>3.2.B.5</t>
  </si>
  <si>
    <t>Stack 4 replace turf</t>
  </si>
  <si>
    <t>3.2.B.6</t>
  </si>
  <si>
    <t>Stack 5:1 regrade</t>
  </si>
  <si>
    <t>assumed 5:1 stripped 4 months ahead of rock placement</t>
  </si>
  <si>
    <t>3.2.B.7</t>
  </si>
  <si>
    <t>Stack 5:1 replace soil/mulch</t>
  </si>
  <si>
    <t>assumed 5:1 is stripped</t>
  </si>
  <si>
    <t>3.2.B.8</t>
  </si>
  <si>
    <t>Stack 5:1 replace turf</t>
  </si>
  <si>
    <t>3.2.B.9</t>
  </si>
  <si>
    <t>worst case 50% of 3:2 (6 and 7 being replaced to natural slopes)</t>
  </si>
  <si>
    <t>Settlement Pond</t>
  </si>
  <si>
    <t>3.3.1</t>
  </si>
  <si>
    <t>settlement pond retained</t>
  </si>
  <si>
    <t>remove pipes - see 2.5.1</t>
  </si>
  <si>
    <t>Merge western ponds into single water feature</t>
  </si>
  <si>
    <t>Storage &amp; circulation areas to be reinstated (inc. reduction of access track)</t>
  </si>
  <si>
    <t>3.5.2</t>
  </si>
  <si>
    <t>Rooting compacted ground</t>
  </si>
  <si>
    <t>Planting</t>
  </si>
  <si>
    <t>Western Process Plant Area</t>
  </si>
  <si>
    <t>4.1.1</t>
  </si>
  <si>
    <t>Chemical analysis and input of plant nutrients</t>
  </si>
  <si>
    <t>4.1.2</t>
  </si>
  <si>
    <t>Hydroseeding over regraded processing area</t>
  </si>
  <si>
    <t>4.1.3</t>
  </si>
  <si>
    <t>Cut and spread brash over regraded processing area</t>
  </si>
  <si>
    <t>ha</t>
  </si>
  <si>
    <t>4.1.4</t>
  </si>
  <si>
    <t>Broadcast seeding over compound plant area</t>
  </si>
  <si>
    <t>4.1.5</t>
  </si>
  <si>
    <t>Plug plants at 4 per m2 to 15% of the brash area</t>
  </si>
  <si>
    <t>4.2.A</t>
  </si>
  <si>
    <t>4.2.A.1</t>
  </si>
  <si>
    <t>Broadcast seeding over regraded stack 1 area</t>
  </si>
  <si>
    <t>4.2.A.2</t>
  </si>
  <si>
    <t>Cut and spread brash over stack 1 area</t>
  </si>
  <si>
    <t>4.2.A.3</t>
  </si>
  <si>
    <t xml:space="preserve">Plug plants at 4 per m2 to 15% stack area </t>
  </si>
  <si>
    <t>15% of 1:1</t>
  </si>
  <si>
    <t>4.2.B</t>
  </si>
  <si>
    <t>4.2.B.1</t>
  </si>
  <si>
    <t>Broadcast seeding over regraded stack areas</t>
  </si>
  <si>
    <t>worst case 3:2 and all of 4 and 5:1</t>
  </si>
  <si>
    <t>4.2.B.2</t>
  </si>
  <si>
    <t>Cut and spread brash over stack areas</t>
  </si>
  <si>
    <t>worst case 5:2 and all of 6 and 7:1</t>
  </si>
  <si>
    <t>4.2.B.3</t>
  </si>
  <si>
    <t>15% of 3:2, 4</t>
  </si>
  <si>
    <t>4.2.B.4</t>
  </si>
  <si>
    <t>Tree planting (including labour - 2017 rate)</t>
  </si>
  <si>
    <t>new rate</t>
  </si>
  <si>
    <t>linking across lower part of site</t>
  </si>
  <si>
    <t>Settlement Pond Area</t>
  </si>
  <si>
    <t>4.3.1</t>
  </si>
  <si>
    <t>Broadcast seeding over reinstated pond access/operational areas</t>
  </si>
  <si>
    <t>allowance 500m2</t>
  </si>
  <si>
    <t>4.3.2</t>
  </si>
  <si>
    <t>Cut and spread brash over reinstated pond access/operational area</t>
  </si>
  <si>
    <t>4.3.3</t>
  </si>
  <si>
    <t>4.3.4</t>
  </si>
  <si>
    <t>lower part of site, settlement pond/link to existing woodland</t>
  </si>
  <si>
    <t>Track restoration</t>
  </si>
  <si>
    <t>4.5.1</t>
  </si>
  <si>
    <t>Hydroseeding</t>
  </si>
  <si>
    <t>Secure Boundaries</t>
  </si>
  <si>
    <t>Sealing of mine</t>
  </si>
  <si>
    <t>Sub Total Restoration Works</t>
  </si>
  <si>
    <t>Survey/management</t>
  </si>
  <si>
    <t>Site survey, preparation of restoration scheme and supervision by appointed contractor</t>
  </si>
  <si>
    <t>%</t>
  </si>
  <si>
    <t>query % basis, rather fix value; subsequently agreed</t>
  </si>
  <si>
    <t>Total Restoration Works</t>
  </si>
  <si>
    <t>Add for Contingencies</t>
  </si>
  <si>
    <t>Total Restoration Works incl. contingencies</t>
  </si>
  <si>
    <t>Add for escalation in prices, assumed at 3.5% p.a. for x years</t>
  </si>
  <si>
    <t>yrs</t>
  </si>
  <si>
    <t>SCL suggests 2 year provision remains sensible</t>
  </si>
  <si>
    <t>Total Restoration Works incl. contingencies &amp; escalation</t>
  </si>
  <si>
    <t>Aftercare</t>
  </si>
  <si>
    <t>Monitor, sampling and analysis of processing area</t>
  </si>
  <si>
    <t>mths</t>
  </si>
  <si>
    <t>Soil sampling and analysis and nutrient provision</t>
  </si>
  <si>
    <t>9.3.A</t>
  </si>
  <si>
    <t>Moorland Habitat (heath/mire) Phase A Bond</t>
  </si>
  <si>
    <t>9.3.A.1</t>
  </si>
  <si>
    <t>Inspect moor habitat; cut and spread brash over failed areas Yr 1</t>
  </si>
  <si>
    <t>full inspection and 20% 'failed' requiring brash</t>
  </si>
  <si>
    <t>9.3.A.2</t>
  </si>
  <si>
    <t xml:space="preserve">Plug plants at 4 per m2 </t>
  </si>
  <si>
    <t>15% cover for 20% 'failed' restored area</t>
  </si>
  <si>
    <t>9.3.A.3</t>
  </si>
  <si>
    <t>Inspect moor habitat; cut and spread brash over failed areas Yr 2</t>
  </si>
  <si>
    <t>full inspection and 10% requiring further brash</t>
  </si>
  <si>
    <t>9.3.A.4</t>
  </si>
  <si>
    <t>Inspect moor habitat Yrs 3-10</t>
  </si>
  <si>
    <t>annual rate for inspection</t>
  </si>
  <si>
    <t>9.3.A.5</t>
  </si>
  <si>
    <t>Tree planting beating up</t>
  </si>
  <si>
    <t>replace 20% per annum for 5 years</t>
  </si>
  <si>
    <t>9.3.B</t>
  </si>
  <si>
    <t>Moorland Habitat (heath/mire) Phase B Bond</t>
  </si>
  <si>
    <t>9.3.B.1</t>
  </si>
  <si>
    <t>9.3.B.2</t>
  </si>
  <si>
    <t>9.3.B.3</t>
  </si>
  <si>
    <t xml:space="preserve">Inspect moor habitat; cut and spread brash over failed areas Yr 2 </t>
  </si>
  <si>
    <t>9.3.B.4</t>
  </si>
  <si>
    <t>9.3.B.5</t>
  </si>
  <si>
    <t>replace 800 trees over 5 years</t>
  </si>
  <si>
    <t>Geotechnical monitoring visits (Stacks, Phase B only) - see sheet 'GeotechRevised for 2017'</t>
  </si>
  <si>
    <t>sum</t>
  </si>
  <si>
    <t>6-monthly for 2 years, 4 further visits (every two years)</t>
  </si>
  <si>
    <t>Water sampling - see sheet 'WaterRevised for 2017'</t>
  </si>
  <si>
    <t>Stock fence removal</t>
  </si>
  <si>
    <t>southern mine site boundary</t>
  </si>
  <si>
    <t>Contract Management</t>
  </si>
  <si>
    <t>Total Aftercare costs</t>
  </si>
  <si>
    <t>Decommissioning &amp;Aftercare Monitoring Condition 32f</t>
  </si>
  <si>
    <t>Ecow Monitoring  0 -5 years</t>
  </si>
  <si>
    <t>Includes initial baseline visit</t>
  </si>
  <si>
    <t>ECoW Monitoring  5 -10 years</t>
  </si>
  <si>
    <t>ECoW Monitoring 10 - 20 years</t>
  </si>
  <si>
    <t>LCoW Monitoring 0 - 5 years</t>
  </si>
  <si>
    <t>LCoW Monitoring 5- 10years</t>
  </si>
  <si>
    <t>LCoW Monitoring 10 - 20 years</t>
  </si>
  <si>
    <t>Total Aftercare incl. contingencies</t>
  </si>
  <si>
    <t>Total Aftercare incl. contingencies &amp; escalation</t>
  </si>
  <si>
    <t>Restoration &amp; Aftercare Total</t>
  </si>
  <si>
    <t>NPA legal fees and administration of the bond</t>
  </si>
  <si>
    <t>Calling the bond, legal fees</t>
  </si>
  <si>
    <t>Year 1, Restoration, monthly admin checking works vs bond remaining</t>
  </si>
  <si>
    <t>days</t>
  </si>
  <si>
    <t>Years 2-5, Aftercare, 6-monthly admin checking works vs bond remaining</t>
  </si>
  <si>
    <t>Years 6-20, Aftercare, reduced admin reflecting minimal works anticipated</t>
  </si>
  <si>
    <t xml:space="preserve">NPA administration </t>
  </si>
  <si>
    <t>Restoration &amp; Aftercare  Total including NPA Contingency</t>
  </si>
  <si>
    <t>225mm (overestimate, some not as deep)</t>
  </si>
  <si>
    <t>1880m pipes (worst case as could be buried in situ)</t>
  </si>
  <si>
    <t>inlet berms concrete (worst case removal offsite)</t>
  </si>
  <si>
    <t>Track scarifying</t>
  </si>
  <si>
    <t>30% of 6,000m2 bund area</t>
  </si>
  <si>
    <t>3.2.A.4i</t>
  </si>
  <si>
    <t>Stack 5:2 lift and spread soil/mulch</t>
  </si>
  <si>
    <t>assumed 5:2 has tailings but no restoration</t>
  </si>
  <si>
    <t>Stack 5:2 place turf</t>
  </si>
  <si>
    <t>Stack 6 remove rock to u/g</t>
  </si>
  <si>
    <t>assumed 6 is part prepared e.g. 4 months advance for placement (worst case, assumed basal drain rock layer is removed to mine</t>
  </si>
  <si>
    <t>Stack 6 replace soil/mulch</t>
  </si>
  <si>
    <t>assumed 6 is prepared 4 months ahead for placement</t>
  </si>
  <si>
    <t>Stack 6 replace turf</t>
  </si>
  <si>
    <t>Stack 7:1 regrade</t>
  </si>
  <si>
    <t>assumed 7:1 stripped 4 months ahead of rock placement (half stack, worst case is 7)</t>
  </si>
  <si>
    <t>Stack 7:1 replace soil/mulch</t>
  </si>
  <si>
    <t>assumed 7:1 is stripped</t>
  </si>
  <si>
    <t>Stack 7:1 replace turf</t>
  </si>
  <si>
    <t>worst case 50% of 5:2 (6 and 7 being replaced to natural slopes)</t>
  </si>
  <si>
    <t>worst case whole of 1</t>
  </si>
  <si>
    <t xml:space="preserve">Plug plants at 4 per m2 to 15% stack 1:1 area </t>
  </si>
  <si>
    <t xml:space="preserve">15% of 5:2, 6 </t>
  </si>
  <si>
    <t>Stack 7:2 lift and spread soil/mulch</t>
  </si>
  <si>
    <t>assumed 7:2 has tailings but no restoration</t>
  </si>
  <si>
    <t>Stack 7:2 place turf</t>
  </si>
  <si>
    <t>Stack 8 regrade rock</t>
  </si>
  <si>
    <t>assumed 8 is part prepared e.g. 4 months advance for placement (worst case, assumed basal drain rock layer is removed to mine</t>
  </si>
  <si>
    <t>Stack 8 replace soil/mulch</t>
  </si>
  <si>
    <t>assumed 8 is prepared 4 months ahead for placement</t>
  </si>
  <si>
    <t>Stack 8 replace turf</t>
  </si>
  <si>
    <t>Stack 9:1 regrade rock</t>
  </si>
  <si>
    <t xml:space="preserve">assumed 9:1 stripped 4 months ahead of rock placement </t>
  </si>
  <si>
    <t>Stack 9:1 replace soil/mulch</t>
  </si>
  <si>
    <t>assumed 9:1 is stripped</t>
  </si>
  <si>
    <t>Stack 9:1 replace turf</t>
  </si>
  <si>
    <t>worst case 50% of 7:2 (8 and 9 being replaced to natural slopes)</t>
  </si>
  <si>
    <t>15% of 7:2, 8</t>
  </si>
  <si>
    <t>Likely 'worst' Stack Scenario</t>
  </si>
  <si>
    <t>3-4-5</t>
  </si>
  <si>
    <t>5-6-7</t>
  </si>
  <si>
    <t>7-8-9</t>
  </si>
  <si>
    <t>possible scenarios from mine project schedule (possible worst in bold)</t>
  </si>
  <si>
    <t>StackNo</t>
  </si>
  <si>
    <t>GIS Area</t>
  </si>
  <si>
    <t>LSS Area</t>
  </si>
  <si>
    <t>1,2</t>
  </si>
  <si>
    <t>2,3</t>
  </si>
  <si>
    <t>3,4,5</t>
  </si>
  <si>
    <t>4,5,6</t>
  </si>
  <si>
    <t>5,6,7</t>
  </si>
  <si>
    <t>6,7</t>
  </si>
  <si>
    <t>7,8,9</t>
  </si>
  <si>
    <t>8,9,10</t>
  </si>
  <si>
    <t>9,10</t>
  </si>
  <si>
    <t>rock volume</t>
  </si>
  <si>
    <t>rock Scenario 2</t>
  </si>
  <si>
    <t>half rock</t>
  </si>
  <si>
    <t>half rock 2</t>
  </si>
  <si>
    <t>area</t>
  </si>
  <si>
    <t>Slope Area</t>
  </si>
  <si>
    <t>bond quantum (2017)</t>
  </si>
  <si>
    <t>RPI to 02.2018</t>
  </si>
  <si>
    <t>subsequent additions</t>
  </si>
  <si>
    <t xml:space="preserve">N.B. </t>
  </si>
  <si>
    <t>agreed assumption that 4 months operational area would be prepared for taillings deposition, this equates to around 4,000t bare rock</t>
  </si>
  <si>
    <t>we should review these assumptions, only 2 stacks likely to be operational, one under 2nd half restoration, the second having SK prepared, allow half stripped.  Although this was accepted by SCL and it's around £30k so not perhaps worth a fuss</t>
  </si>
  <si>
    <t>agreed assumption that half subsequent stack area (ahead of rock placement) may be stripped.</t>
  </si>
  <si>
    <t>Visit 1, Yr1</t>
  </si>
  <si>
    <t>Visit 2, Yr1</t>
  </si>
  <si>
    <t>Visit 3, Yr2</t>
  </si>
  <si>
    <t>Visit 4, Yr2</t>
  </si>
  <si>
    <t>Visit 5, Yr3</t>
  </si>
  <si>
    <t>Visit 6, Yr4</t>
  </si>
  <si>
    <t>Visit 7, Yr5</t>
  </si>
  <si>
    <t>Visit 8, Yr6</t>
  </si>
  <si>
    <t>Visit 9, Yr7</t>
  </si>
  <si>
    <t>Visit 10, Yr8</t>
  </si>
  <si>
    <t>Visit 11, Yr9</t>
  </si>
  <si>
    <t>Visit 12, Yr10</t>
  </si>
  <si>
    <t>Local Geotechnical Engineer (does not have to be a Geotechnical Specialist, as defined by the Mine Regulations 2014)</t>
  </si>
  <si>
    <t>Days for inspection and summary report</t>
  </si>
  <si>
    <t>Rate</t>
  </si>
  <si>
    <t>Geotech. Total</t>
  </si>
  <si>
    <t>Expenses, site visit</t>
  </si>
  <si>
    <t>Peer review, hrs</t>
  </si>
  <si>
    <t>Peer review rate</t>
  </si>
  <si>
    <t>Peer review total</t>
  </si>
  <si>
    <t>Overall total (per visit)</t>
  </si>
  <si>
    <t>17 year total (17 visits)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</si>
  <si>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</si>
  <si>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</si>
  <si>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</si>
  <si>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</si>
  <si>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</si>
  <si>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</si>
  <si>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</si>
  <si>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</si>
  <si>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</si>
  <si>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</si>
  <si>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Local Technician</t>
  </si>
  <si>
    <t>Hours per visit</t>
  </si>
  <si>
    <t>Technician fees</t>
  </si>
  <si>
    <t xml:space="preserve">Expenses </t>
  </si>
  <si>
    <t>Total for technician</t>
  </si>
  <si>
    <t>Water samples</t>
  </si>
  <si>
    <t>Frequency per year</t>
  </si>
  <si>
    <t>No samples</t>
  </si>
  <si>
    <t>Cost per sample</t>
  </si>
  <si>
    <t>Total water testing</t>
  </si>
  <si>
    <t>Transport water samples</t>
  </si>
  <si>
    <t>Results review and letter report (per visit)</t>
  </si>
  <si>
    <t>Total reporting per year</t>
  </si>
  <si>
    <t>Total (per year)</t>
  </si>
  <si>
    <t>Overall total (10 years)</t>
  </si>
  <si>
    <t>ECoW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</si>
  <si>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</si>
  <si>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</si>
  <si>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</si>
  <si>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</si>
  <si>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</si>
  <si>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</si>
  <si>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</si>
  <si>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</si>
  <si>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</si>
  <si>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</si>
  <si>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Days (including site visit &amp; report</t>
  </si>
  <si>
    <t>Daily Rate</t>
  </si>
  <si>
    <t>TOTAL ECoW Monitoring Costs</t>
  </si>
  <si>
    <t>clean out interceptors</t>
  </si>
  <si>
    <t>clean out sewage treatment plant</t>
  </si>
  <si>
    <t xml:space="preserve">increased provision </t>
  </si>
  <si>
    <t>reduction proposed</t>
  </si>
  <si>
    <t>removal of bulk fuel tank</t>
  </si>
  <si>
    <t>2.7.1</t>
  </si>
  <si>
    <t>2.3.1</t>
  </si>
  <si>
    <t>2.3.2</t>
  </si>
  <si>
    <t>2.3.3</t>
  </si>
  <si>
    <t>HEAs 4, 5 and 6 my require restoration</t>
  </si>
  <si>
    <t>3.5.1</t>
  </si>
  <si>
    <t>2022 Proposed Adjustment</t>
  </si>
  <si>
    <t>Notes 2022 - refer to Bond Commentary</t>
  </si>
  <si>
    <t>possible double counting at item 3.5.2 -  SCL proposes this be retained as contingency</t>
  </si>
  <si>
    <t>buried pipes retained in situ (provision for plugging) but also no recirc installed and reduced crossing pipe length used -  SCL proposes this be retained as contingency</t>
  </si>
  <si>
    <t>unlikely to be required -  SCL proposes this be retained as contingency</t>
  </si>
  <si>
    <t>310/1750 trees are now planted in this area, reduction in provision in this proportion</t>
  </si>
  <si>
    <t>new provision, based on labour (2no.) x 8hrs, crane/hiab and trailer</t>
  </si>
  <si>
    <t>based on current contractor rate</t>
  </si>
  <si>
    <t>actually provision is at 2.5 and 2.5.2 - additional allowance here for removal of valve, costing per removal of bridge at 2.7.1</t>
  </si>
  <si>
    <t>noted previously as item retained in error, western ponds will no longer be present, previously they were lost to S2 and now to HEA2 (assumed complete/competent by this stage)</t>
  </si>
  <si>
    <t>Considering the propsoed schedule of works, HEAs 4, 5 and 6 could be open, so assume turfing works on this entire area.  As at 3.1.8 rates include pegging and are likely to be excessive - SCL propose this is retained as a contingency.</t>
  </si>
  <si>
    <t>SCL proposes this should be broadcast seeding.</t>
  </si>
  <si>
    <t>tree planting now complete in this area</t>
  </si>
  <si>
    <t>Stacks 3, 4 and 5 as worst case previously agreed, could be reduced as experience and proposed schedule shows a 2 stack overlap likely to continue, and not 3 -  SCL proposes this be retained as contingency</t>
  </si>
  <si>
    <t>-</t>
  </si>
  <si>
    <t>hired, no removal cost</t>
  </si>
  <si>
    <t>office, welfare, and lab are all on hire, potential reduction identified -  SCL proposes this be retained as contingency</t>
  </si>
  <si>
    <r>
      <t xml:space="preserve">the intention is to break out concrete to allow drainage, but to leave </t>
    </r>
    <r>
      <rPr>
        <i/>
        <sz val="10"/>
        <rFont val="Arial"/>
        <family val="2"/>
      </rPr>
      <t xml:space="preserve">in situ </t>
    </r>
    <r>
      <rPr>
        <sz val="10"/>
        <rFont val="Arial"/>
        <family val="2"/>
      </rPr>
      <t>-  SCL proposes this provision be retained as contingency</t>
    </r>
  </si>
  <si>
    <t>seepage channels, retained around stacks during restoration phase and then should be left to continue to vegetate.</t>
  </si>
  <si>
    <t>unecessary as concrete broken up and whole area to be covered with bund material, no compaction</t>
  </si>
  <si>
    <t>total bund volume acknowledged as altered but provision for restoration volume remains appropriate</t>
  </si>
  <si>
    <t>no requirement for pegging of turf (demonstrated by experience to date), SCL believes this cost to be excessive - SCL proposes this be retained as contingency</t>
  </si>
  <si>
    <t>review and remove provision as none has proven necessary to date and no steeper slopes are proposed in later stack areas.</t>
  </si>
  <si>
    <t>evidence to date shows this to be unecessary -  SCL proposes the provision for brash be retained, but in combination with broadcast seeding.</t>
  </si>
  <si>
    <t>SCL suggests that with seeding and brash cover, plug plants are not necessary</t>
  </si>
  <si>
    <t>evidence to date shows this to be unecessary -  SCL proposes the provision for brash be retained as a contingency, in combination with broadcast seeding.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</si>
</sst>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43" formatCode="_-* #,##0.00_-;\-* #,##0.00_-;_-* &quot;-&quot;??_-;_-@_-"/>
    <numFmt numFmtId="164" formatCode="0.0"/>
    <numFmt numFmtId="165" formatCode="0.0%"/>
    <numFmt numFmtId="166" formatCode="#,##0.0000"/>
    <numFmt numFmtId="167" formatCode="#,##0.0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i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13" fillId="10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12" applyNumberFormat="0" applyFont="0" applyAlignment="0" applyProtection="0"/>
  </cellStyleXfs>
  <cellXfs count="147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6" fillId="0" borderId="1" xfId="0" applyFont="1" applyBorder="1"/>
    <xf numFmtId="164" fontId="4" fillId="0" borderId="1" xfId="0" applyNumberFormat="1" applyFont="1" applyBorder="1" applyAlignment="1">
      <alignment horizontal="left"/>
    </xf>
    <xf numFmtId="4" fontId="6" fillId="2" borderId="1" xfId="0" applyNumberFormat="1" applyFont="1" applyFill="1" applyBorder="1"/>
    <xf numFmtId="4" fontId="6" fillId="3" borderId="1" xfId="0" applyNumberFormat="1" applyFont="1" applyFill="1" applyBorder="1"/>
    <xf numFmtId="4" fontId="6" fillId="0" borderId="1" xfId="0" applyNumberFormat="1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4" fontId="4" fillId="0" borderId="1" xfId="1" applyNumberFormat="1" applyFont="1" applyFill="1" applyBorder="1" applyAlignment="1">
      <alignment horizontal="right"/>
    </xf>
    <xf numFmtId="0" fontId="4" fillId="6" borderId="1" xfId="0" applyFont="1" applyFill="1" applyBorder="1" applyAlignment="1">
      <alignment horizontal="left"/>
    </xf>
    <xf numFmtId="0" fontId="4" fillId="6" borderId="1" xfId="0" applyFont="1" applyFill="1" applyBorder="1"/>
    <xf numFmtId="0" fontId="4" fillId="7" borderId="1" xfId="0" applyFont="1" applyFill="1" applyBorder="1" applyAlignment="1">
      <alignment horizontal="left"/>
    </xf>
    <xf numFmtId="0" fontId="4" fillId="7" borderId="1" xfId="0" applyFont="1" applyFill="1" applyBorder="1"/>
    <xf numFmtId="4" fontId="4" fillId="6" borderId="1" xfId="0" applyNumberFormat="1" applyFont="1" applyFill="1" applyBorder="1"/>
    <xf numFmtId="4" fontId="4" fillId="7" borderId="1" xfId="0" applyNumberFormat="1" applyFont="1" applyFill="1" applyBorder="1"/>
    <xf numFmtId="4" fontId="4" fillId="4" borderId="1" xfId="0" applyNumberFormat="1" applyFont="1" applyFill="1" applyBorder="1"/>
    <xf numFmtId="4" fontId="4" fillId="5" borderId="1" xfId="0" applyNumberFormat="1" applyFont="1" applyFill="1" applyBorder="1"/>
    <xf numFmtId="1" fontId="4" fillId="0" borderId="1" xfId="0" applyNumberFormat="1" applyFont="1" applyBorder="1"/>
    <xf numFmtId="1" fontId="4" fillId="0" borderId="1" xfId="1" applyNumberFormat="1" applyFont="1" applyFill="1" applyBorder="1"/>
    <xf numFmtId="0" fontId="3" fillId="7" borderId="1" xfId="0" applyFont="1" applyFill="1" applyBorder="1"/>
    <xf numFmtId="0" fontId="2" fillId="0" borderId="0" xfId="2"/>
    <xf numFmtId="1" fontId="2" fillId="0" borderId="0" xfId="2" applyNumberFormat="1"/>
    <xf numFmtId="0" fontId="3" fillId="0" borderId="1" xfId="0" applyFont="1" applyBorder="1"/>
    <xf numFmtId="3" fontId="3" fillId="0" borderId="1" xfId="0" applyNumberFormat="1" applyFont="1" applyBorder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4" fontId="4" fillId="6" borderId="1" xfId="0" applyNumberFormat="1" applyFont="1" applyFill="1" applyBorder="1" applyAlignment="1">
      <alignment vertical="top"/>
    </xf>
    <xf numFmtId="4" fontId="4" fillId="7" borderId="1" xfId="0" applyNumberFormat="1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6" borderId="1" xfId="0" applyFont="1" applyFill="1" applyBorder="1"/>
    <xf numFmtId="4" fontId="3" fillId="0" borderId="1" xfId="0" applyNumberFormat="1" applyFont="1" applyBorder="1" applyAlignment="1">
      <alignment vertical="top"/>
    </xf>
    <xf numFmtId="4" fontId="3" fillId="0" borderId="1" xfId="0" applyNumberFormat="1" applyFont="1" applyBorder="1"/>
    <xf numFmtId="0" fontId="2" fillId="0" borderId="0" xfId="2" applyAlignment="1">
      <alignment wrapText="1"/>
    </xf>
    <xf numFmtId="4" fontId="3" fillId="0" borderId="1" xfId="1" applyNumberFormat="1" applyFont="1" applyFill="1" applyBorder="1"/>
    <xf numFmtId="0" fontId="3" fillId="6" borderId="1" xfId="0" applyFont="1" applyFill="1" applyBorder="1" applyAlignment="1">
      <alignment horizontal="left"/>
    </xf>
    <xf numFmtId="0" fontId="3" fillId="0" borderId="0" xfId="0" applyFont="1"/>
    <xf numFmtId="49" fontId="3" fillId="0" borderId="0" xfId="0" applyNumberFormat="1" applyFont="1"/>
    <xf numFmtId="49" fontId="0" fillId="0" borderId="0" xfId="0" applyNumberFormat="1"/>
    <xf numFmtId="4" fontId="3" fillId="3" borderId="1" xfId="0" applyNumberFormat="1" applyFont="1" applyFill="1" applyBorder="1"/>
    <xf numFmtId="4" fontId="3" fillId="2" borderId="1" xfId="0" applyNumberFormat="1" applyFont="1" applyFill="1" applyBorder="1"/>
    <xf numFmtId="1" fontId="3" fillId="0" borderId="1" xfId="0" applyNumberFormat="1" applyFont="1" applyBorder="1"/>
    <xf numFmtId="4" fontId="3" fillId="6" borderId="1" xfId="0" applyNumberFormat="1" applyFont="1" applyFill="1" applyBorder="1"/>
    <xf numFmtId="4" fontId="3" fillId="7" borderId="1" xfId="0" applyNumberFormat="1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4" fontId="3" fillId="4" borderId="1" xfId="0" applyNumberFormat="1" applyFont="1" applyFill="1" applyBorder="1"/>
    <xf numFmtId="4" fontId="3" fillId="0" borderId="1" xfId="0" applyNumberFormat="1" applyFont="1" applyBorder="1" applyAlignment="1">
      <alignment vertical="top" wrapText="1"/>
    </xf>
    <xf numFmtId="1" fontId="3" fillId="4" borderId="1" xfId="0" applyNumberFormat="1" applyFont="1" applyFill="1" applyBorder="1"/>
    <xf numFmtId="4" fontId="3" fillId="4" borderId="1" xfId="0" applyNumberFormat="1" applyFont="1" applyFill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166" fontId="3" fillId="3" borderId="1" xfId="0" applyNumberFormat="1" applyFont="1" applyFill="1" applyBorder="1"/>
    <xf numFmtId="0" fontId="3" fillId="7" borderId="1" xfId="0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/>
    <xf numFmtId="4" fontId="3" fillId="0" borderId="1" xfId="0" applyNumberFormat="1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right"/>
    </xf>
    <xf numFmtId="1" fontId="3" fillId="0" borderId="1" xfId="1" applyNumberFormat="1" applyFont="1" applyFill="1" applyBorder="1"/>
    <xf numFmtId="9" fontId="3" fillId="0" borderId="1" xfId="0" applyNumberFormat="1" applyFont="1" applyBorder="1"/>
    <xf numFmtId="4" fontId="3" fillId="0" borderId="1" xfId="1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/>
    <xf numFmtId="0" fontId="7" fillId="0" borderId="0" xfId="0" applyFont="1"/>
    <xf numFmtId="0" fontId="4" fillId="0" borderId="0" xfId="0" applyFont="1"/>
    <xf numFmtId="0" fontId="0" fillId="0" borderId="1" xfId="0" applyBorder="1"/>
    <xf numFmtId="0" fontId="7" fillId="0" borderId="1" xfId="0" applyFont="1" applyBorder="1"/>
    <xf numFmtId="0" fontId="3" fillId="0" borderId="1" xfId="0" quotePrefix="1" applyFont="1" applyBorder="1" applyAlignment="1">
      <alignment vertical="top"/>
    </xf>
    <xf numFmtId="4" fontId="0" fillId="0" borderId="1" xfId="0" applyNumberFormat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0" fontId="4" fillId="0" borderId="1" xfId="0" quotePrefix="1" applyFont="1" applyBorder="1" applyAlignment="1">
      <alignment vertical="top"/>
    </xf>
    <xf numFmtId="1" fontId="3" fillId="5" borderId="1" xfId="0" applyNumberFormat="1" applyFont="1" applyFill="1" applyBorder="1"/>
    <xf numFmtId="4" fontId="3" fillId="5" borderId="1" xfId="0" applyNumberFormat="1" applyFont="1" applyFill="1" applyBorder="1"/>
    <xf numFmtId="4" fontId="4" fillId="8" borderId="1" xfId="0" applyNumberFormat="1" applyFont="1" applyFill="1" applyBorder="1"/>
    <xf numFmtId="0" fontId="2" fillId="4" borderId="0" xfId="2" applyFill="1"/>
    <xf numFmtId="0" fontId="10" fillId="9" borderId="0" xfId="2" applyFont="1" applyFill="1"/>
    <xf numFmtId="1" fontId="2" fillId="9" borderId="0" xfId="2" applyNumberFormat="1" applyFill="1"/>
    <xf numFmtId="1" fontId="11" fillId="0" borderId="0" xfId="2" applyNumberFormat="1" applyFont="1"/>
    <xf numFmtId="0" fontId="2" fillId="9" borderId="0" xfId="2" applyFill="1"/>
    <xf numFmtId="4" fontId="11" fillId="0" borderId="0" xfId="2" applyNumberFormat="1" applyFont="1"/>
    <xf numFmtId="0" fontId="0" fillId="9" borderId="0" xfId="0" applyFill="1"/>
    <xf numFmtId="0" fontId="3" fillId="9" borderId="0" xfId="0" applyFont="1" applyFill="1"/>
    <xf numFmtId="3" fontId="0" fillId="9" borderId="0" xfId="0" applyNumberFormat="1" applyFill="1"/>
    <xf numFmtId="6" fontId="4" fillId="9" borderId="0" xfId="0" applyNumberFormat="1" applyFont="1" applyFill="1"/>
    <xf numFmtId="6" fontId="9" fillId="0" borderId="0" xfId="0" applyNumberFormat="1" applyFont="1"/>
    <xf numFmtId="0" fontId="8" fillId="0" borderId="0" xfId="0" applyFont="1"/>
    <xf numFmtId="1" fontId="3" fillId="0" borderId="1" xfId="1" applyNumberFormat="1" applyFont="1" applyFill="1" applyBorder="1" applyAlignment="1">
      <alignment horizontal="center"/>
    </xf>
    <xf numFmtId="167" fontId="3" fillId="2" borderId="1" xfId="0" applyNumberFormat="1" applyFont="1" applyFill="1" applyBorder="1"/>
    <xf numFmtId="10" fontId="3" fillId="0" borderId="1" xfId="0" applyNumberFormat="1" applyFont="1" applyBorder="1"/>
    <xf numFmtId="167" fontId="3" fillId="0" borderId="1" xfId="0" applyNumberFormat="1" applyFont="1" applyBorder="1"/>
    <xf numFmtId="0" fontId="4" fillId="0" borderId="1" xfId="0" applyFont="1" applyBorder="1" applyAlignment="1">
      <alignment wrapText="1"/>
    </xf>
    <xf numFmtId="0" fontId="1" fillId="0" borderId="0" xfId="0" applyFont="1"/>
    <xf numFmtId="4" fontId="12" fillId="0" borderId="5" xfId="0" applyNumberFormat="1" applyFont="1" applyBorder="1"/>
    <xf numFmtId="4" fontId="3" fillId="2" borderId="2" xfId="0" applyNumberFormat="1" applyFont="1" applyFill="1" applyBorder="1"/>
    <xf numFmtId="4" fontId="4" fillId="7" borderId="4" xfId="0" applyNumberFormat="1" applyFont="1" applyFill="1" applyBorder="1"/>
    <xf numFmtId="4" fontId="4" fillId="0" borderId="6" xfId="0" applyNumberFormat="1" applyFont="1" applyBorder="1"/>
    <xf numFmtId="4" fontId="3" fillId="2" borderId="6" xfId="0" applyNumberFormat="1" applyFont="1" applyFill="1" applyBorder="1"/>
    <xf numFmtId="4" fontId="4" fillId="6" borderId="6" xfId="0" applyNumberFormat="1" applyFont="1" applyFill="1" applyBorder="1"/>
    <xf numFmtId="4" fontId="4" fillId="0" borderId="7" xfId="0" applyNumberFormat="1" applyFont="1" applyBorder="1"/>
    <xf numFmtId="4" fontId="3" fillId="2" borderId="7" xfId="0" applyNumberFormat="1" applyFont="1" applyFill="1" applyBorder="1"/>
    <xf numFmtId="4" fontId="4" fillId="6" borderId="7" xfId="0" applyNumberFormat="1" applyFont="1" applyFill="1" applyBorder="1"/>
    <xf numFmtId="4" fontId="3" fillId="0" borderId="8" xfId="0" applyNumberFormat="1" applyFont="1" applyBorder="1"/>
    <xf numFmtId="4" fontId="3" fillId="2" borderId="9" xfId="0" applyNumberFormat="1" applyFont="1" applyFill="1" applyBorder="1"/>
    <xf numFmtId="167" fontId="4" fillId="6" borderId="10" xfId="0" applyNumberFormat="1" applyFont="1" applyFill="1" applyBorder="1" applyAlignment="1">
      <alignment horizontal="left"/>
    </xf>
    <xf numFmtId="4" fontId="3" fillId="0" borderId="2" xfId="0" applyNumberFormat="1" applyFont="1" applyBorder="1"/>
    <xf numFmtId="4" fontId="3" fillId="0" borderId="4" xfId="0" applyNumberFormat="1" applyFont="1" applyBorder="1"/>
    <xf numFmtId="4" fontId="3" fillId="0" borderId="6" xfId="0" applyNumberFormat="1" applyFont="1" applyBorder="1"/>
    <xf numFmtId="4" fontId="4" fillId="7" borderId="6" xfId="0" applyNumberFormat="1" applyFont="1" applyFill="1" applyBorder="1"/>
    <xf numFmtId="4" fontId="4" fillId="0" borderId="7" xfId="0" applyNumberFormat="1" applyFont="1" applyBorder="1" applyAlignment="1">
      <alignment wrapText="1"/>
    </xf>
    <xf numFmtId="4" fontId="4" fillId="7" borderId="7" xfId="0" applyNumberFormat="1" applyFont="1" applyFill="1" applyBorder="1"/>
    <xf numFmtId="167" fontId="4" fillId="7" borderId="10" xfId="0" applyNumberFormat="1" applyFont="1" applyFill="1" applyBorder="1" applyAlignment="1">
      <alignment horizontal="left"/>
    </xf>
    <xf numFmtId="4" fontId="4" fillId="4" borderId="4" xfId="0" applyNumberFormat="1" applyFont="1" applyFill="1" applyBorder="1"/>
    <xf numFmtId="0" fontId="0" fillId="4" borderId="0" xfId="0" applyFill="1"/>
    <xf numFmtId="0" fontId="3" fillId="4" borderId="0" xfId="0" applyFont="1" applyFill="1"/>
    <xf numFmtId="4" fontId="3" fillId="0" borderId="7" xfId="0" applyNumberFormat="1" applyFont="1" applyBorder="1" applyAlignment="1">
      <alignment horizontal="left" vertical="top"/>
    </xf>
    <xf numFmtId="4" fontId="13" fillId="10" borderId="4" xfId="4" applyNumberFormat="1" applyBorder="1"/>
    <xf numFmtId="4" fontId="15" fillId="10" borderId="1" xfId="4" applyNumberFormat="1" applyFont="1" applyBorder="1"/>
    <xf numFmtId="4" fontId="4" fillId="0" borderId="4" xfId="0" applyNumberFormat="1" applyFont="1" applyBorder="1"/>
    <xf numFmtId="165" fontId="3" fillId="4" borderId="1" xfId="0" applyNumberFormat="1" applyFont="1" applyFill="1" applyBorder="1"/>
    <xf numFmtId="4" fontId="1" fillId="0" borderId="1" xfId="0" applyNumberFormat="1" applyFont="1" applyBorder="1"/>
    <xf numFmtId="0" fontId="1" fillId="0" borderId="1" xfId="0" applyFont="1" applyBorder="1"/>
    <xf numFmtId="4" fontId="14" fillId="12" borderId="12" xfId="6" applyNumberFormat="1" applyFont="1"/>
    <xf numFmtId="4" fontId="3" fillId="0" borderId="13" xfId="0" applyNumberFormat="1" applyFont="1" applyBorder="1"/>
    <xf numFmtId="4" fontId="3" fillId="2" borderId="11" xfId="0" applyNumberFormat="1" applyFont="1" applyFill="1" applyBorder="1"/>
    <xf numFmtId="167" fontId="4" fillId="6" borderId="14" xfId="0" applyNumberFormat="1" applyFont="1" applyFill="1" applyBorder="1" applyAlignment="1">
      <alignment horizontal="left"/>
    </xf>
    <xf numFmtId="167" fontId="4" fillId="7" borderId="14" xfId="0" applyNumberFormat="1" applyFont="1" applyFill="1" applyBorder="1" applyAlignment="1">
      <alignment horizontal="left"/>
    </xf>
    <xf numFmtId="4" fontId="15" fillId="12" borderId="12" xfId="6" applyNumberFormat="1" applyFont="1"/>
    <xf numFmtId="4" fontId="17" fillId="11" borderId="0" xfId="5" applyNumberFormat="1" applyBorder="1"/>
    <xf numFmtId="4" fontId="17" fillId="11" borderId="4" xfId="5" applyNumberFormat="1" applyBorder="1"/>
    <xf numFmtId="0" fontId="17" fillId="11" borderId="0" xfId="5"/>
    <xf numFmtId="4" fontId="13" fillId="12" borderId="12" xfId="6" applyNumberFormat="1" applyFont="1"/>
    <xf numFmtId="4" fontId="13" fillId="10" borderId="1" xfId="4" applyNumberFormat="1" applyBorder="1"/>
    <xf numFmtId="1" fontId="3" fillId="12" borderId="12" xfId="6" applyNumberFormat="1" applyFont="1"/>
    <xf numFmtId="0" fontId="13" fillId="10" borderId="0" xfId="4"/>
    <xf numFmtId="4" fontId="4" fillId="0" borderId="1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left" vertical="top" wrapText="1"/>
    </xf>
    <xf numFmtId="4" fontId="3" fillId="0" borderId="7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4" fontId="4" fillId="0" borderId="1" xfId="0" applyNumberFormat="1" applyFont="1" applyBorder="1" applyAlignment="1">
      <alignment horizontal="center" wrapText="1"/>
    </xf>
  </cellXfs>
  <cellStyles count="7">
    <cellStyle name="Bad" xfId="5" builtinId="27"/>
    <cellStyle name="Comma" xfId="1" builtinId="3"/>
    <cellStyle name="Good" xfId="4" builtinId="26"/>
    <cellStyle name="Normal" xfId="0" builtinId="0"/>
    <cellStyle name="Normal 2" xfId="2" xr:uid="{00000000-0005-0000-0000-000002000000}"/>
    <cellStyle name="Normal 5" xfId="3" xr:uid="{00000000-0005-0000-0000-000003000000}"/>
    <cellStyle name="Note" xfId="6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Maximum Exposure (calculated</a:t>
            </a:r>
            <a:r>
              <a:rPr lang="en-GB" baseline="0"/>
              <a:t> 2017)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Summary!$B$54:$B$57</c:f>
              <c:strCache>
                <c:ptCount val="4"/>
                <c:pt idx="0">
                  <c:v>1</c:v>
                </c:pt>
                <c:pt idx="1">
                  <c:v>3,4,5</c:v>
                </c:pt>
                <c:pt idx="2">
                  <c:v>5,6,7</c:v>
                </c:pt>
                <c:pt idx="3">
                  <c:v>7,8,9</c:v>
                </c:pt>
              </c:strCache>
            </c:strRef>
          </c:cat>
          <c:val>
            <c:numRef>
              <c:f>Summary!$C$54:$C$57</c:f>
              <c:numCache>
                <c:formatCode>General</c:formatCode>
                <c:ptCount val="4"/>
                <c:pt idx="0">
                  <c:v>421370.22913604346</c:v>
                </c:pt>
                <c:pt idx="1">
                  <c:v>508330.59857048473</c:v>
                </c:pt>
                <c:pt idx="2">
                  <c:v>500222.70253682707</c:v>
                </c:pt>
                <c:pt idx="3">
                  <c:v>470365.36417526763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CF5-4C02-A2D9-EAE4DF886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275072"/>
        <c:axId val="50276992"/>
      </c:lineChart>
      <c:catAx>
        <c:axId val="50275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Operational</a:t>
                </a:r>
                <a:r>
                  <a:rPr lang="en-GB" baseline="0"/>
                  <a:t> Stacks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76992"/>
        <c:crosses val="autoZero"/>
        <c:auto val="1"/>
        <c:lblAlgn val="ctr"/>
        <c:lblOffset val="100"/>
        <c:noMultiLvlLbl val="0"/>
      </c:catAx>
      <c:valAx>
        <c:axId val="50276992"/>
        <c:scaling>
          <c:orientation val="minMax"/>
          <c:min val="3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Bond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£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75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</xdr:colOff>
      <xdr:row>31</xdr:row>
      <xdr:rowOff>61912</xdr:rowOff>
    </xdr:from>
    <xdr:to>
      <xdr:col>3</xdr:col>
      <xdr:colOff>2166937</xdr:colOff>
      <xdr:row>48</xdr:row>
      <xdr:rowOff>52387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92B8E47-2407-4BF7-8301-182489A9C3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Y149"/>
  <sheetViews>
    <sheetView zoomScale="80" zoomScaleNormal="80"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T18" sqref="T18"/>
    </sheetView>
  </sheetViews>
  <sheetFormatPr defaultColWidth="9.15234375" defaultRowHeight="12.45" x14ac:dyDescent="0.3"/>
  <cols>
    <col min="1" max="1" width="9.23046875" style="25" bestFit="1" customWidth="1"/>
    <col min="2" max="2" width="50.69140625" style="25" customWidth="1"/>
    <col min="3" max="3" width="7.84375" style="25" bestFit="1" customWidth="1"/>
    <col min="4" max="4" width="15.69140625" style="20" bestFit="1" customWidth="1"/>
    <col min="5" max="5" width="8.23046875" style="41" hidden="1" customWidth="1"/>
    <col min="6" max="6" width="13.23046875" style="42" hidden="1" customWidth="1"/>
    <col min="7" max="7" width="13.23046875" style="9" bestFit="1" customWidth="1"/>
    <col min="8" max="8" width="18.23046875" style="42" hidden="1" customWidth="1"/>
    <col min="9" max="9" width="19.15234375" style="9" bestFit="1" customWidth="1"/>
    <col min="10" max="10" width="15.69140625" style="9" bestFit="1" customWidth="1"/>
    <col min="11" max="11" width="14.61328125" style="34" customWidth="1"/>
    <col min="12" max="12" width="25.69140625" style="34" customWidth="1"/>
    <col min="13" max="13" width="22.15234375" style="34" bestFit="1" customWidth="1"/>
    <col min="14" max="14" width="52.84375" style="9" bestFit="1" customWidth="1"/>
    <col min="15" max="15" width="33.3828125" style="34" bestFit="1" customWidth="1"/>
    <col min="16" max="16" width="36.07421875" style="34" customWidth="1"/>
    <col min="17" max="16384" width="9.15234375" style="25"/>
  </cols>
  <sheetData>
    <row r="1" spans="1:16" ht="12.9" thickBot="1" x14ac:dyDescent="0.35">
      <c r="A1" s="1" t="s">
        <v>0</v>
      </c>
      <c r="G1" s="96"/>
      <c r="H1" s="97"/>
      <c r="I1" s="98" t="s">
        <v>1</v>
      </c>
      <c r="J1" s="17" t="s">
        <v>2</v>
      </c>
      <c r="M1" s="107"/>
      <c r="N1" s="108" t="s">
        <v>3</v>
      </c>
      <c r="O1" s="112" t="s">
        <v>382</v>
      </c>
      <c r="P1" s="48" t="s">
        <v>383</v>
      </c>
    </row>
    <row r="2" spans="1:16" ht="12.9" thickBot="1" x14ac:dyDescent="0.35">
      <c r="A2" s="1" t="s">
        <v>4</v>
      </c>
      <c r="F2" s="94"/>
      <c r="G2" s="102" t="s">
        <v>5</v>
      </c>
      <c r="H2" s="103"/>
      <c r="I2" s="104">
        <v>1.153</v>
      </c>
      <c r="J2" s="95"/>
      <c r="L2" s="105"/>
      <c r="M2" s="102" t="s">
        <v>6</v>
      </c>
      <c r="N2" s="111">
        <v>1.1639999999999999</v>
      </c>
      <c r="O2" s="118" t="s">
        <v>7</v>
      </c>
    </row>
    <row r="3" spans="1:16" ht="14.6" x14ac:dyDescent="0.4">
      <c r="A3" s="1"/>
      <c r="F3" s="94"/>
      <c r="G3" s="123"/>
      <c r="H3" s="124"/>
      <c r="I3" s="125"/>
      <c r="J3" s="95"/>
      <c r="L3" s="105"/>
      <c r="M3" s="123"/>
      <c r="N3" s="126"/>
      <c r="O3" s="117" t="s">
        <v>8</v>
      </c>
    </row>
    <row r="4" spans="1:16" ht="14.6" x14ac:dyDescent="0.4">
      <c r="A4" s="1"/>
      <c r="F4" s="94"/>
      <c r="G4" s="123"/>
      <c r="H4" s="124"/>
      <c r="I4" s="125"/>
      <c r="J4" s="95"/>
      <c r="L4" s="105"/>
      <c r="M4" s="123"/>
      <c r="N4" s="126"/>
      <c r="O4" s="128" t="s">
        <v>374</v>
      </c>
    </row>
    <row r="5" spans="1:16" ht="14.6" x14ac:dyDescent="0.4">
      <c r="A5" s="1"/>
      <c r="F5" s="94"/>
      <c r="G5" s="123"/>
      <c r="H5" s="124"/>
      <c r="I5" s="125"/>
      <c r="J5" s="95"/>
      <c r="L5" s="105"/>
      <c r="M5" s="123"/>
      <c r="N5" s="126"/>
      <c r="O5" s="127" t="s">
        <v>373</v>
      </c>
    </row>
    <row r="6" spans="1:16" x14ac:dyDescent="0.3">
      <c r="G6" s="99"/>
      <c r="H6" s="100"/>
      <c r="I6" s="101" t="s">
        <v>9</v>
      </c>
      <c r="J6" s="17" t="s">
        <v>10</v>
      </c>
      <c r="M6" s="109" t="s">
        <v>11</v>
      </c>
      <c r="N6" s="110" t="s">
        <v>10</v>
      </c>
      <c r="O6" s="65">
        <v>1.28</v>
      </c>
    </row>
    <row r="7" spans="1:16" x14ac:dyDescent="0.3">
      <c r="A7" s="2" t="s">
        <v>12</v>
      </c>
      <c r="B7" s="1" t="s">
        <v>13</v>
      </c>
      <c r="C7" s="1" t="s">
        <v>14</v>
      </c>
      <c r="D7" s="20" t="s">
        <v>15</v>
      </c>
      <c r="E7" s="41" t="s">
        <v>16</v>
      </c>
      <c r="F7" s="42" t="s">
        <v>17</v>
      </c>
      <c r="G7" s="9" t="s">
        <v>18</v>
      </c>
      <c r="H7" s="42" t="s">
        <v>19</v>
      </c>
      <c r="I7" s="16" t="s">
        <v>20</v>
      </c>
      <c r="J7" s="17" t="s">
        <v>20</v>
      </c>
      <c r="K7" s="146" t="s">
        <v>21</v>
      </c>
      <c r="L7" s="135"/>
      <c r="N7" s="17"/>
      <c r="O7" s="106"/>
    </row>
    <row r="8" spans="1:16" ht="14.6" x14ac:dyDescent="0.4">
      <c r="A8" s="2">
        <v>1</v>
      </c>
      <c r="B8" s="1" t="s">
        <v>22</v>
      </c>
      <c r="C8" s="25" t="s">
        <v>23</v>
      </c>
      <c r="D8" s="43"/>
      <c r="G8" s="34"/>
      <c r="H8" s="42">
        <v>2800</v>
      </c>
      <c r="I8" s="44">
        <f>H8*1.153</f>
        <v>3228.4</v>
      </c>
      <c r="J8" s="45">
        <f>I8</f>
        <v>3228.4</v>
      </c>
      <c r="K8" s="34" t="s">
        <v>24</v>
      </c>
      <c r="N8" s="45">
        <f>H8*$N$2</f>
        <v>3259.2</v>
      </c>
      <c r="O8" s="116">
        <f>N8*$O$6</f>
        <v>4171.7759999999998</v>
      </c>
    </row>
    <row r="9" spans="1:16" x14ac:dyDescent="0.3">
      <c r="A9" s="2"/>
      <c r="B9" s="1"/>
      <c r="D9" s="43"/>
      <c r="G9" s="34"/>
      <c r="I9" s="44"/>
      <c r="J9" s="45"/>
      <c r="N9" s="45"/>
      <c r="O9" s="106"/>
    </row>
    <row r="10" spans="1:16" x14ac:dyDescent="0.3">
      <c r="A10" s="2">
        <v>2</v>
      </c>
      <c r="B10" s="1" t="s">
        <v>25</v>
      </c>
      <c r="D10" s="43"/>
      <c r="G10" s="34"/>
      <c r="I10" s="44"/>
      <c r="J10" s="45"/>
      <c r="N10" s="45"/>
      <c r="O10" s="106"/>
    </row>
    <row r="11" spans="1:16" ht="14.6" x14ac:dyDescent="0.4">
      <c r="A11" s="46">
        <v>2.1</v>
      </c>
      <c r="B11" s="25" t="s">
        <v>26</v>
      </c>
      <c r="C11" s="25" t="s">
        <v>23</v>
      </c>
      <c r="D11" s="43"/>
      <c r="G11" s="34"/>
      <c r="H11" s="42">
        <v>31500</v>
      </c>
      <c r="I11" s="44">
        <f t="shared" ref="I11:I62" si="0">H11*1.153</f>
        <v>36319.5</v>
      </c>
      <c r="J11" s="45">
        <f t="shared" ref="J11:J34" si="1">I11</f>
        <v>36319.5</v>
      </c>
      <c r="K11" s="34" t="s">
        <v>24</v>
      </c>
      <c r="N11" s="45">
        <f>H11*$N$2</f>
        <v>36666</v>
      </c>
      <c r="O11" s="116">
        <f t="shared" ref="O11:O18" si="2">N11*$O$6</f>
        <v>46932.480000000003</v>
      </c>
      <c r="P11" s="34" t="s">
        <v>398</v>
      </c>
    </row>
    <row r="12" spans="1:16" ht="25.75" x14ac:dyDescent="0.4">
      <c r="A12" s="46">
        <v>2.2000000000000002</v>
      </c>
      <c r="B12" s="25" t="s">
        <v>27</v>
      </c>
      <c r="C12" s="25" t="s">
        <v>28</v>
      </c>
      <c r="D12" s="43">
        <f>(0.225*80*30)</f>
        <v>540</v>
      </c>
      <c r="E12" s="41">
        <v>31.5</v>
      </c>
      <c r="F12" s="42">
        <v>31.5</v>
      </c>
      <c r="G12" s="34">
        <f>F12*1.153</f>
        <v>36.319499999999998</v>
      </c>
      <c r="I12" s="44">
        <f>D12*G12</f>
        <v>19612.53</v>
      </c>
      <c r="J12" s="45">
        <f t="shared" si="1"/>
        <v>19612.53</v>
      </c>
      <c r="K12" s="34" t="s">
        <v>29</v>
      </c>
      <c r="L12" s="52" t="s">
        <v>30</v>
      </c>
      <c r="M12" s="34">
        <f>F12*$N$2</f>
        <v>36.665999999999997</v>
      </c>
      <c r="N12" s="45">
        <f>D12*M12</f>
        <v>19799.64</v>
      </c>
      <c r="O12" s="116">
        <f t="shared" si="2"/>
        <v>25343.539199999999</v>
      </c>
      <c r="P12" s="34" t="s">
        <v>399</v>
      </c>
    </row>
    <row r="13" spans="1:16" ht="14.6" x14ac:dyDescent="0.4">
      <c r="A13" s="46">
        <v>2.2999999999999998</v>
      </c>
      <c r="B13" s="47" t="s">
        <v>31</v>
      </c>
      <c r="C13" s="25" t="s">
        <v>23</v>
      </c>
      <c r="D13" s="43"/>
      <c r="G13" s="34"/>
      <c r="H13" s="42">
        <v>1050</v>
      </c>
      <c r="I13" s="44">
        <f t="shared" si="0"/>
        <v>1210.6500000000001</v>
      </c>
      <c r="J13" s="45">
        <f t="shared" si="1"/>
        <v>1210.6500000000001</v>
      </c>
      <c r="K13" s="34" t="s">
        <v>24</v>
      </c>
      <c r="N13" s="45">
        <f>H13*$N$2</f>
        <v>1222.1999999999998</v>
      </c>
      <c r="O13" s="116">
        <f t="shared" si="2"/>
        <v>1564.4159999999997</v>
      </c>
    </row>
    <row r="14" spans="1:16" x14ac:dyDescent="0.3">
      <c r="A14" s="46" t="s">
        <v>377</v>
      </c>
      <c r="B14" s="47" t="s">
        <v>375</v>
      </c>
      <c r="D14" s="43"/>
      <c r="G14" s="34"/>
      <c r="I14" s="44"/>
      <c r="J14" s="45"/>
      <c r="N14" s="45"/>
      <c r="O14" s="106" t="s">
        <v>396</v>
      </c>
      <c r="P14" s="34" t="s">
        <v>397</v>
      </c>
    </row>
    <row r="15" spans="1:16" ht="14.6" x14ac:dyDescent="0.4">
      <c r="A15" s="46" t="s">
        <v>378</v>
      </c>
      <c r="B15" s="47" t="s">
        <v>371</v>
      </c>
      <c r="D15" s="43"/>
      <c r="G15" s="34"/>
      <c r="I15" s="44"/>
      <c r="J15" s="45"/>
      <c r="N15" s="45"/>
      <c r="O15" s="131">
        <v>4000</v>
      </c>
      <c r="P15" s="34" t="s">
        <v>389</v>
      </c>
    </row>
    <row r="16" spans="1:16" ht="14.6" x14ac:dyDescent="0.4">
      <c r="A16" s="46" t="s">
        <v>379</v>
      </c>
      <c r="B16" s="47" t="s">
        <v>372</v>
      </c>
      <c r="D16" s="43"/>
      <c r="G16" s="34"/>
      <c r="I16" s="44"/>
      <c r="J16" s="45"/>
      <c r="N16" s="45"/>
      <c r="O16" s="131">
        <v>1800</v>
      </c>
      <c r="P16" s="34" t="s">
        <v>389</v>
      </c>
    </row>
    <row r="17" spans="1:16" ht="14.6" x14ac:dyDescent="0.4">
      <c r="A17" s="46">
        <v>2.4</v>
      </c>
      <c r="B17" s="25" t="s">
        <v>32</v>
      </c>
      <c r="C17" s="25" t="s">
        <v>23</v>
      </c>
      <c r="D17" s="43"/>
      <c r="G17" s="34"/>
      <c r="H17" s="42">
        <v>2100</v>
      </c>
      <c r="I17" s="44">
        <f t="shared" si="0"/>
        <v>2421.3000000000002</v>
      </c>
      <c r="J17" s="45">
        <f t="shared" si="1"/>
        <v>2421.3000000000002</v>
      </c>
      <c r="K17" s="34" t="s">
        <v>24</v>
      </c>
      <c r="N17" s="45">
        <f>H17*$N$2</f>
        <v>2444.3999999999996</v>
      </c>
      <c r="O17" s="129"/>
      <c r="P17" s="34" t="s">
        <v>33</v>
      </c>
    </row>
    <row r="18" spans="1:16" ht="14.6" x14ac:dyDescent="0.4">
      <c r="A18" s="46">
        <v>2.5</v>
      </c>
      <c r="B18" s="25" t="s">
        <v>34</v>
      </c>
      <c r="C18" s="25" t="s">
        <v>35</v>
      </c>
      <c r="D18" s="43">
        <v>1880</v>
      </c>
      <c r="E18" s="41">
        <v>31.5</v>
      </c>
      <c r="F18" s="42">
        <v>31.5</v>
      </c>
      <c r="G18" s="34"/>
      <c r="I18" s="44">
        <v>2500</v>
      </c>
      <c r="J18" s="45">
        <f t="shared" si="1"/>
        <v>2500</v>
      </c>
      <c r="L18" s="34" t="s">
        <v>36</v>
      </c>
      <c r="N18" s="45">
        <v>2500</v>
      </c>
      <c r="O18" s="116">
        <f t="shared" si="2"/>
        <v>3200</v>
      </c>
      <c r="P18" s="34" t="s">
        <v>385</v>
      </c>
    </row>
    <row r="19" spans="1:16" ht="15" x14ac:dyDescent="0.4">
      <c r="A19" s="46" t="s">
        <v>37</v>
      </c>
      <c r="B19" s="25" t="s">
        <v>38</v>
      </c>
      <c r="C19" s="25" t="s">
        <v>28</v>
      </c>
      <c r="D19" s="43">
        <v>9730</v>
      </c>
      <c r="F19" s="42">
        <v>0.42</v>
      </c>
      <c r="G19" s="34">
        <v>0.48</v>
      </c>
      <c r="I19" s="44">
        <f>D19*G19</f>
        <v>4670.3999999999996</v>
      </c>
      <c r="J19" s="45">
        <f t="shared" si="1"/>
        <v>4670.3999999999996</v>
      </c>
      <c r="K19" s="34" t="s">
        <v>29</v>
      </c>
      <c r="L19" s="34" t="s">
        <v>39</v>
      </c>
      <c r="M19" s="34">
        <f>F19*$N$2</f>
        <v>0.48887999999999993</v>
      </c>
      <c r="N19" s="45">
        <f>D19*M19</f>
        <v>4756.8023999999996</v>
      </c>
      <c r="O19" s="129"/>
      <c r="P19" s="34" t="s">
        <v>400</v>
      </c>
    </row>
    <row r="20" spans="1:16" ht="15" x14ac:dyDescent="0.4">
      <c r="A20" s="46" t="s">
        <v>40</v>
      </c>
      <c r="B20" s="47" t="s">
        <v>41</v>
      </c>
      <c r="C20" s="25" t="s">
        <v>42</v>
      </c>
      <c r="D20" s="43">
        <f>8*3*2/2*(2)</f>
        <v>48</v>
      </c>
      <c r="E20" s="41">
        <v>1.9</v>
      </c>
      <c r="F20" s="42">
        <v>2.5</v>
      </c>
      <c r="G20" s="34">
        <f>G12</f>
        <v>36.319499999999998</v>
      </c>
      <c r="I20" s="44">
        <f>D20*G20</f>
        <v>1743.3359999999998</v>
      </c>
      <c r="J20" s="45">
        <f t="shared" si="1"/>
        <v>1743.3359999999998</v>
      </c>
      <c r="K20" s="34" t="s">
        <v>43</v>
      </c>
      <c r="L20" s="34" t="s">
        <v>44</v>
      </c>
      <c r="M20" s="34">
        <f>M12</f>
        <v>36.665999999999997</v>
      </c>
      <c r="N20" s="45">
        <f>D20*M20</f>
        <v>1759.9679999999998</v>
      </c>
      <c r="O20" s="116">
        <f>N20*$O$6</f>
        <v>2252.7590399999999</v>
      </c>
    </row>
    <row r="21" spans="1:16" ht="14.6" x14ac:dyDescent="0.4">
      <c r="A21" s="46">
        <v>2.6</v>
      </c>
      <c r="B21" s="25" t="s">
        <v>45</v>
      </c>
      <c r="C21" s="25" t="s">
        <v>23</v>
      </c>
      <c r="D21" s="43"/>
      <c r="G21" s="34"/>
      <c r="H21" s="42">
        <v>1000</v>
      </c>
      <c r="I21" s="44">
        <f t="shared" si="0"/>
        <v>1153</v>
      </c>
      <c r="J21" s="45">
        <f t="shared" si="1"/>
        <v>1153</v>
      </c>
      <c r="K21" s="34" t="s">
        <v>24</v>
      </c>
      <c r="N21" s="45">
        <f>H21*$N$2</f>
        <v>1164</v>
      </c>
      <c r="O21" s="116">
        <f>N21*$O$6</f>
        <v>1489.92</v>
      </c>
    </row>
    <row r="22" spans="1:16" ht="14.6" x14ac:dyDescent="0.4">
      <c r="A22" s="46">
        <v>2.7</v>
      </c>
      <c r="B22" s="25" t="s">
        <v>46</v>
      </c>
      <c r="C22" s="25" t="s">
        <v>23</v>
      </c>
      <c r="D22" s="43"/>
      <c r="G22" s="34"/>
      <c r="H22" s="42">
        <v>5000</v>
      </c>
      <c r="I22" s="44">
        <f t="shared" si="0"/>
        <v>5765</v>
      </c>
      <c r="J22" s="45">
        <f t="shared" si="1"/>
        <v>5765</v>
      </c>
      <c r="K22" s="34" t="s">
        <v>24</v>
      </c>
      <c r="N22" s="45">
        <f>H22*$N$2</f>
        <v>5820</v>
      </c>
      <c r="O22" s="116">
        <f>N22*$O$6</f>
        <v>7449.6</v>
      </c>
    </row>
    <row r="23" spans="1:16" ht="14.6" x14ac:dyDescent="0.4">
      <c r="A23" s="46" t="s">
        <v>376</v>
      </c>
      <c r="B23" s="25" t="s">
        <v>47</v>
      </c>
      <c r="C23" s="25" t="s">
        <v>23</v>
      </c>
      <c r="D23" s="43"/>
      <c r="G23" s="34"/>
      <c r="I23" s="44"/>
      <c r="J23" s="45"/>
      <c r="N23" s="45"/>
      <c r="O23" s="122">
        <v>1500</v>
      </c>
      <c r="P23" s="34" t="s">
        <v>388</v>
      </c>
    </row>
    <row r="24" spans="1:16" ht="14.6" x14ac:dyDescent="0.4">
      <c r="A24" s="46">
        <v>2.8</v>
      </c>
      <c r="B24" s="25" t="s">
        <v>48</v>
      </c>
      <c r="C24" s="25" t="s">
        <v>23</v>
      </c>
      <c r="D24" s="43"/>
      <c r="G24" s="34"/>
      <c r="H24" s="42">
        <v>400</v>
      </c>
      <c r="I24" s="44">
        <f t="shared" si="0"/>
        <v>461.2</v>
      </c>
      <c r="J24" s="45">
        <f t="shared" si="1"/>
        <v>461.2</v>
      </c>
      <c r="K24" s="34" t="s">
        <v>24</v>
      </c>
      <c r="N24" s="45">
        <f>H24*$N$2</f>
        <v>465.59999999999997</v>
      </c>
      <c r="O24" s="116">
        <f>N24*$O$6</f>
        <v>595.96799999999996</v>
      </c>
      <c r="P24" s="34" t="s">
        <v>384</v>
      </c>
    </row>
    <row r="25" spans="1:16" x14ac:dyDescent="0.3">
      <c r="A25" s="46"/>
      <c r="D25" s="43"/>
      <c r="G25" s="34"/>
      <c r="I25" s="44"/>
      <c r="J25" s="45"/>
      <c r="N25" s="45"/>
      <c r="O25"/>
    </row>
    <row r="26" spans="1:16" x14ac:dyDescent="0.3">
      <c r="A26" s="2">
        <v>3.1</v>
      </c>
      <c r="B26" s="1" t="s">
        <v>49</v>
      </c>
      <c r="D26" s="43"/>
      <c r="G26" s="34"/>
      <c r="I26" s="44"/>
      <c r="J26" s="45"/>
      <c r="N26" s="45"/>
      <c r="O26" s="106"/>
    </row>
    <row r="27" spans="1:16" ht="15" x14ac:dyDescent="0.4">
      <c r="A27" s="46" t="s">
        <v>50</v>
      </c>
      <c r="B27" s="25" t="s">
        <v>51</v>
      </c>
      <c r="C27" s="25" t="s">
        <v>42</v>
      </c>
      <c r="D27" s="43">
        <v>5000</v>
      </c>
      <c r="F27" s="42">
        <v>0.2</v>
      </c>
      <c r="G27" s="34">
        <v>0.23060000000000003</v>
      </c>
      <c r="I27" s="44">
        <f t="shared" ref="I27:I34" si="3">D27*G27</f>
        <v>1153.0000000000002</v>
      </c>
      <c r="J27" s="45">
        <f t="shared" si="1"/>
        <v>1153.0000000000002</v>
      </c>
      <c r="K27" s="34" t="s">
        <v>29</v>
      </c>
      <c r="M27" s="34">
        <f t="shared" ref="M27:M34" si="4">F27*$N$2</f>
        <v>0.23280000000000001</v>
      </c>
      <c r="N27" s="45">
        <f>D27*M27</f>
        <v>1164</v>
      </c>
      <c r="O27" s="130"/>
      <c r="P27" s="34" t="s">
        <v>401</v>
      </c>
    </row>
    <row r="28" spans="1:16" ht="15" x14ac:dyDescent="0.4">
      <c r="A28" s="46" t="s">
        <v>52</v>
      </c>
      <c r="B28" s="25" t="s">
        <v>53</v>
      </c>
      <c r="C28" s="25" t="s">
        <v>42</v>
      </c>
      <c r="D28" s="43">
        <f>0.3*6000</f>
        <v>1800</v>
      </c>
      <c r="E28" s="41">
        <v>1.5</v>
      </c>
      <c r="F28" s="42">
        <v>2.5</v>
      </c>
      <c r="G28" s="34">
        <f>F28*1.153</f>
        <v>2.8825000000000003</v>
      </c>
      <c r="I28" s="44">
        <f t="shared" si="3"/>
        <v>5188.5000000000009</v>
      </c>
      <c r="J28" s="45">
        <f t="shared" si="1"/>
        <v>5188.5000000000009</v>
      </c>
      <c r="K28" s="34" t="s">
        <v>29</v>
      </c>
      <c r="L28" s="34" t="s">
        <v>54</v>
      </c>
      <c r="M28" s="34">
        <f t="shared" si="4"/>
        <v>2.9099999999999997</v>
      </c>
      <c r="N28" s="45">
        <f t="shared" ref="N28:N34" si="5">D28*M28</f>
        <v>5237.9999999999991</v>
      </c>
      <c r="O28" s="116">
        <f t="shared" ref="O28:O34" si="6">N28*$O$6</f>
        <v>6704.6399999999994</v>
      </c>
    </row>
    <row r="29" spans="1:16" ht="15" x14ac:dyDescent="0.4">
      <c r="A29" s="46" t="s">
        <v>55</v>
      </c>
      <c r="B29" s="25" t="s">
        <v>56</v>
      </c>
      <c r="C29" s="25" t="s">
        <v>42</v>
      </c>
      <c r="D29" s="43">
        <f>D28</f>
        <v>1800</v>
      </c>
      <c r="E29" s="41">
        <v>1.2</v>
      </c>
      <c r="F29" s="42">
        <v>2.5</v>
      </c>
      <c r="G29" s="34">
        <f t="shared" ref="G29:G33" si="7">F29*1.153</f>
        <v>2.8825000000000003</v>
      </c>
      <c r="I29" s="44">
        <f t="shared" si="3"/>
        <v>5188.5000000000009</v>
      </c>
      <c r="J29" s="45">
        <f t="shared" si="1"/>
        <v>5188.5000000000009</v>
      </c>
      <c r="K29" s="34" t="s">
        <v>29</v>
      </c>
      <c r="M29" s="34">
        <f t="shared" si="4"/>
        <v>2.9099999999999997</v>
      </c>
      <c r="N29" s="45">
        <f t="shared" si="5"/>
        <v>5237.9999999999991</v>
      </c>
      <c r="O29" s="116">
        <f t="shared" si="6"/>
        <v>6704.6399999999994</v>
      </c>
    </row>
    <row r="30" spans="1:16" ht="15" x14ac:dyDescent="0.4">
      <c r="A30" s="46" t="s">
        <v>57</v>
      </c>
      <c r="B30" s="25" t="s">
        <v>58</v>
      </c>
      <c r="C30" s="25" t="s">
        <v>28</v>
      </c>
      <c r="D30" s="43">
        <f>(6000-D28)*0.4</f>
        <v>1680</v>
      </c>
      <c r="E30" s="41">
        <v>1.9</v>
      </c>
      <c r="F30" s="42">
        <v>1.9</v>
      </c>
      <c r="G30" s="34">
        <f t="shared" si="7"/>
        <v>2.1907000000000001</v>
      </c>
      <c r="I30" s="44">
        <f t="shared" si="3"/>
        <v>3680.3760000000002</v>
      </c>
      <c r="J30" s="45">
        <f t="shared" si="1"/>
        <v>3680.3760000000002</v>
      </c>
      <c r="K30" s="34" t="s">
        <v>29</v>
      </c>
      <c r="L30" s="34" t="s">
        <v>59</v>
      </c>
      <c r="M30" s="34">
        <f t="shared" si="4"/>
        <v>2.2115999999999998</v>
      </c>
      <c r="N30" s="45">
        <f t="shared" si="5"/>
        <v>3715.4879999999998</v>
      </c>
      <c r="O30" s="116">
        <f t="shared" si="6"/>
        <v>4755.8246399999998</v>
      </c>
    </row>
    <row r="31" spans="1:16" ht="15" x14ac:dyDescent="0.4">
      <c r="A31" s="46" t="s">
        <v>60</v>
      </c>
      <c r="B31" s="25" t="s">
        <v>61</v>
      </c>
      <c r="C31" s="25" t="s">
        <v>28</v>
      </c>
      <c r="D31" s="43">
        <v>19602</v>
      </c>
      <c r="E31" s="41">
        <v>0.42</v>
      </c>
      <c r="F31" s="42">
        <v>0.42</v>
      </c>
      <c r="G31" s="34">
        <f t="shared" si="7"/>
        <v>0.48425999999999997</v>
      </c>
      <c r="I31" s="44">
        <f t="shared" si="3"/>
        <v>9492.4645199999995</v>
      </c>
      <c r="J31" s="45">
        <f t="shared" si="1"/>
        <v>9492.4645199999995</v>
      </c>
      <c r="K31" s="25" t="s">
        <v>29</v>
      </c>
      <c r="L31" s="34" t="s">
        <v>62</v>
      </c>
      <c r="M31" s="34">
        <f t="shared" si="4"/>
        <v>0.48887999999999993</v>
      </c>
      <c r="N31" s="45">
        <f t="shared" si="5"/>
        <v>9583.0257599999986</v>
      </c>
      <c r="O31" s="116">
        <f t="shared" si="6"/>
        <v>12266.272972799998</v>
      </c>
      <c r="P31" s="34" t="s">
        <v>402</v>
      </c>
    </row>
    <row r="32" spans="1:16" ht="15" x14ac:dyDescent="0.4">
      <c r="A32" s="46" t="s">
        <v>63</v>
      </c>
      <c r="B32" s="25" t="s">
        <v>64</v>
      </c>
      <c r="C32" s="25" t="s">
        <v>42</v>
      </c>
      <c r="D32" s="43">
        <v>1020</v>
      </c>
      <c r="E32" s="41">
        <v>0.2</v>
      </c>
      <c r="F32" s="42">
        <v>0.2</v>
      </c>
      <c r="G32" s="34">
        <f t="shared" si="7"/>
        <v>0.23060000000000003</v>
      </c>
      <c r="I32" s="44">
        <f t="shared" si="3"/>
        <v>235.21200000000002</v>
      </c>
      <c r="J32" s="45">
        <f t="shared" si="1"/>
        <v>235.21200000000002</v>
      </c>
      <c r="K32" s="34" t="s">
        <v>29</v>
      </c>
      <c r="M32" s="34">
        <f t="shared" si="4"/>
        <v>0.23280000000000001</v>
      </c>
      <c r="N32" s="45">
        <f t="shared" si="5"/>
        <v>237.45600000000002</v>
      </c>
      <c r="O32" s="116">
        <f t="shared" si="6"/>
        <v>303.94368000000003</v>
      </c>
    </row>
    <row r="33" spans="1:16" ht="15" x14ac:dyDescent="0.4">
      <c r="A33" s="46" t="s">
        <v>65</v>
      </c>
      <c r="B33" s="25" t="s">
        <v>66</v>
      </c>
      <c r="C33" s="25" t="s">
        <v>28</v>
      </c>
      <c r="D33" s="43">
        <f>D30</f>
        <v>1680</v>
      </c>
      <c r="E33" s="41">
        <v>1.9</v>
      </c>
      <c r="F33" s="42">
        <v>1.9</v>
      </c>
      <c r="G33" s="34">
        <f t="shared" si="7"/>
        <v>2.1907000000000001</v>
      </c>
      <c r="I33" s="44">
        <f t="shared" si="3"/>
        <v>3680.3760000000002</v>
      </c>
      <c r="J33" s="45">
        <f t="shared" si="1"/>
        <v>3680.3760000000002</v>
      </c>
      <c r="K33" s="34" t="s">
        <v>29</v>
      </c>
      <c r="L33" s="34" t="s">
        <v>67</v>
      </c>
      <c r="M33" s="34">
        <f t="shared" si="4"/>
        <v>2.2115999999999998</v>
      </c>
      <c r="N33" s="45">
        <f t="shared" si="5"/>
        <v>3715.4879999999998</v>
      </c>
      <c r="O33" s="116">
        <f t="shared" si="6"/>
        <v>4755.8246399999998</v>
      </c>
    </row>
    <row r="34" spans="1:16" ht="15" x14ac:dyDescent="0.4">
      <c r="A34" s="46" t="s">
        <v>68</v>
      </c>
      <c r="B34" s="25" t="s">
        <v>69</v>
      </c>
      <c r="C34" s="25" t="s">
        <v>42</v>
      </c>
      <c r="D34" s="43">
        <f>D28</f>
        <v>1800</v>
      </c>
      <c r="E34" s="41">
        <v>4.0999999999999996</v>
      </c>
      <c r="F34" s="42">
        <v>7.5</v>
      </c>
      <c r="G34" s="34">
        <f>F34*1.153</f>
        <v>8.6475000000000009</v>
      </c>
      <c r="I34" s="44">
        <f t="shared" si="3"/>
        <v>15565.500000000002</v>
      </c>
      <c r="J34" s="45">
        <f t="shared" si="1"/>
        <v>15565.500000000002</v>
      </c>
      <c r="K34" s="34" t="s">
        <v>29</v>
      </c>
      <c r="L34" s="34" t="s">
        <v>70</v>
      </c>
      <c r="M34" s="34">
        <f t="shared" si="4"/>
        <v>8.7299999999999986</v>
      </c>
      <c r="N34" s="45">
        <f t="shared" si="5"/>
        <v>15713.999999999998</v>
      </c>
      <c r="O34" s="134">
        <f t="shared" si="6"/>
        <v>20113.919999999998</v>
      </c>
      <c r="P34" s="34" t="s">
        <v>403</v>
      </c>
    </row>
    <row r="35" spans="1:16" x14ac:dyDescent="0.3">
      <c r="A35" s="12" t="s">
        <v>71</v>
      </c>
      <c r="B35" s="13" t="s">
        <v>72</v>
      </c>
      <c r="D35" s="43"/>
      <c r="G35" s="34"/>
      <c r="I35" s="44"/>
      <c r="J35" s="34"/>
      <c r="L35" s="52" t="s">
        <v>73</v>
      </c>
      <c r="N35" s="34"/>
      <c r="O35" s="106"/>
    </row>
    <row r="36" spans="1:16" ht="14.15" x14ac:dyDescent="0.3">
      <c r="A36" s="37" t="s">
        <v>74</v>
      </c>
      <c r="B36" s="32" t="s">
        <v>75</v>
      </c>
      <c r="C36" s="25" t="s">
        <v>28</v>
      </c>
      <c r="D36" s="43">
        <f>13686/2</f>
        <v>6843</v>
      </c>
      <c r="F36" s="42">
        <v>8</v>
      </c>
      <c r="G36" s="34">
        <f>F36*1.153</f>
        <v>9.2240000000000002</v>
      </c>
      <c r="I36" s="44">
        <f t="shared" ref="I36:I42" si="8">D36*G36</f>
        <v>63119.832000000002</v>
      </c>
      <c r="J36" s="34"/>
      <c r="K36" s="34" t="s">
        <v>29</v>
      </c>
      <c r="L36" s="52" t="s">
        <v>76</v>
      </c>
      <c r="N36" s="34"/>
      <c r="O36" s="106"/>
    </row>
    <row r="37" spans="1:16" ht="14.15" x14ac:dyDescent="0.3">
      <c r="A37" s="37" t="s">
        <v>77</v>
      </c>
      <c r="B37" s="32" t="s">
        <v>78</v>
      </c>
      <c r="C37" s="25" t="s">
        <v>28</v>
      </c>
      <c r="D37" s="43">
        <f>(6672/2*0.7*0.4)+(6672/2*0.3*0.1)</f>
        <v>1034.1599999999999</v>
      </c>
      <c r="E37" s="41">
        <v>1.9</v>
      </c>
      <c r="F37" s="42">
        <v>1.9</v>
      </c>
      <c r="G37" s="34">
        <f>F37*1.153</f>
        <v>2.1907000000000001</v>
      </c>
      <c r="I37" s="44">
        <f t="shared" si="8"/>
        <v>2265.5343119999998</v>
      </c>
      <c r="J37" s="34"/>
      <c r="K37" s="34" t="s">
        <v>29</v>
      </c>
      <c r="L37" s="52" t="s">
        <v>79</v>
      </c>
      <c r="N37" s="34"/>
      <c r="O37" s="106"/>
    </row>
    <row r="38" spans="1:16" ht="14.15" x14ac:dyDescent="0.3">
      <c r="A38" s="37" t="s">
        <v>80</v>
      </c>
      <c r="B38" s="32" t="s">
        <v>81</v>
      </c>
      <c r="C38" s="25" t="s">
        <v>42</v>
      </c>
      <c r="D38" s="43">
        <f>6672/2*0.3</f>
        <v>1000.8</v>
      </c>
      <c r="E38" s="41">
        <v>4.0999999999999996</v>
      </c>
      <c r="F38" s="42">
        <v>7.5</v>
      </c>
      <c r="G38" s="34">
        <f>F38*1.153</f>
        <v>8.6475000000000009</v>
      </c>
      <c r="I38" s="44">
        <f t="shared" si="8"/>
        <v>8654.4179999999997</v>
      </c>
      <c r="J38" s="34"/>
      <c r="K38" s="34" t="s">
        <v>29</v>
      </c>
      <c r="L38" s="52" t="s">
        <v>79</v>
      </c>
      <c r="N38" s="34"/>
      <c r="O38" s="106"/>
    </row>
    <row r="39" spans="1:16" x14ac:dyDescent="0.3">
      <c r="A39" s="37" t="s">
        <v>82</v>
      </c>
      <c r="B39" s="44" t="s">
        <v>83</v>
      </c>
      <c r="D39" s="43">
        <v>4000</v>
      </c>
      <c r="F39" s="42">
        <v>0.42</v>
      </c>
      <c r="G39" s="34">
        <v>0.48</v>
      </c>
      <c r="I39" s="44">
        <f t="shared" si="8"/>
        <v>1920</v>
      </c>
      <c r="J39" s="34"/>
      <c r="K39" s="34" t="s">
        <v>29</v>
      </c>
      <c r="L39" s="34" t="s">
        <v>84</v>
      </c>
      <c r="N39" s="34"/>
      <c r="O39" s="106"/>
    </row>
    <row r="40" spans="1:16" ht="14.15" x14ac:dyDescent="0.3">
      <c r="A40" s="37" t="s">
        <v>85</v>
      </c>
      <c r="B40" s="32" t="s">
        <v>86</v>
      </c>
      <c r="C40" s="25" t="s">
        <v>28</v>
      </c>
      <c r="D40" s="43">
        <f>(6672/2*0.7*0.4)+(6672/2*0.3*0.1)</f>
        <v>1034.1599999999999</v>
      </c>
      <c r="F40" s="42">
        <v>1.9</v>
      </c>
      <c r="G40" s="34">
        <v>2.19</v>
      </c>
      <c r="I40" s="44">
        <f t="shared" si="8"/>
        <v>2264.8103999999998</v>
      </c>
      <c r="J40" s="34"/>
      <c r="K40" s="34" t="s">
        <v>29</v>
      </c>
      <c r="L40" s="52" t="s">
        <v>79</v>
      </c>
      <c r="N40" s="34"/>
      <c r="O40" s="106"/>
    </row>
    <row r="41" spans="1:16" ht="14.15" x14ac:dyDescent="0.3">
      <c r="A41" s="37" t="s">
        <v>87</v>
      </c>
      <c r="B41" s="32" t="s">
        <v>88</v>
      </c>
      <c r="C41" s="25" t="s">
        <v>42</v>
      </c>
      <c r="D41" s="43">
        <f>6672/2*0.3</f>
        <v>1000.8</v>
      </c>
      <c r="E41" s="41">
        <v>4.0999999999999996</v>
      </c>
      <c r="F41" s="42">
        <v>7.5</v>
      </c>
      <c r="G41" s="34">
        <f>F41*1.153</f>
        <v>8.6475000000000009</v>
      </c>
      <c r="I41" s="44">
        <f t="shared" si="8"/>
        <v>8654.4179999999997</v>
      </c>
      <c r="J41" s="34"/>
      <c r="K41" s="34" t="s">
        <v>29</v>
      </c>
      <c r="L41" s="52" t="s">
        <v>79</v>
      </c>
      <c r="N41" s="34"/>
      <c r="O41" s="106"/>
    </row>
    <row r="42" spans="1:16" ht="14.15" x14ac:dyDescent="0.3">
      <c r="A42" s="37" t="s">
        <v>89</v>
      </c>
      <c r="B42" s="32" t="s">
        <v>90</v>
      </c>
      <c r="C42" s="25" t="s">
        <v>42</v>
      </c>
      <c r="D42" s="43">
        <f>6672/2</f>
        <v>3336</v>
      </c>
      <c r="E42" s="41">
        <v>5</v>
      </c>
      <c r="F42" s="42">
        <v>5</v>
      </c>
      <c r="G42" s="34">
        <f>F42*1.153</f>
        <v>5.7650000000000006</v>
      </c>
      <c r="I42" s="44">
        <f t="shared" si="8"/>
        <v>19232.04</v>
      </c>
      <c r="J42" s="34"/>
      <c r="K42" s="34" t="s">
        <v>29</v>
      </c>
      <c r="L42" s="52" t="s">
        <v>91</v>
      </c>
      <c r="N42" s="34"/>
      <c r="O42" s="106"/>
    </row>
    <row r="43" spans="1:16" x14ac:dyDescent="0.3">
      <c r="A43" s="14" t="s">
        <v>92</v>
      </c>
      <c r="B43" s="15" t="s">
        <v>93</v>
      </c>
      <c r="D43" s="43"/>
      <c r="G43" s="34"/>
      <c r="I43" s="34"/>
      <c r="J43" s="45"/>
      <c r="L43" s="33"/>
      <c r="N43" s="45"/>
      <c r="O43" s="106"/>
      <c r="P43" s="34" t="s">
        <v>395</v>
      </c>
    </row>
    <row r="44" spans="1:16" ht="15" x14ac:dyDescent="0.4">
      <c r="A44" s="54" t="s">
        <v>94</v>
      </c>
      <c r="B44" s="22" t="s">
        <v>95</v>
      </c>
      <c r="C44" s="25" t="s">
        <v>28</v>
      </c>
      <c r="D44" s="43">
        <f>(14724/2*0.7*0.4)+(14724/2*0.3*0.1)</f>
        <v>2282.2200000000003</v>
      </c>
      <c r="F44" s="42">
        <v>1.9</v>
      </c>
      <c r="G44" s="34">
        <f>1.9*1.153</f>
        <v>2.1907000000000001</v>
      </c>
      <c r="I44" s="34"/>
      <c r="J44" s="45">
        <f t="shared" ref="J44:J52" si="9">D44*G44</f>
        <v>4999.6593540000003</v>
      </c>
      <c r="K44" s="34" t="s">
        <v>29</v>
      </c>
      <c r="L44" s="34" t="s">
        <v>96</v>
      </c>
      <c r="M44" s="34">
        <f t="shared" ref="M44:M45" si="10">F44*$N$2</f>
        <v>2.2115999999999998</v>
      </c>
      <c r="N44" s="45">
        <f t="shared" ref="N44:N52" si="11">D44*M44</f>
        <v>5047.3577519999999</v>
      </c>
      <c r="O44" s="116">
        <f t="shared" ref="O44:O51" si="12">N44*$O$6</f>
        <v>6460.6179225599999</v>
      </c>
    </row>
    <row r="45" spans="1:16" ht="15" x14ac:dyDescent="0.4">
      <c r="A45" s="54" t="s">
        <v>97</v>
      </c>
      <c r="B45" s="22" t="s">
        <v>98</v>
      </c>
      <c r="C45" s="25" t="s">
        <v>42</v>
      </c>
      <c r="D45" s="43">
        <f>14724/2*0.3</f>
        <v>2208.6</v>
      </c>
      <c r="F45" s="42">
        <v>7.5</v>
      </c>
      <c r="G45" s="34">
        <v>8.65</v>
      </c>
      <c r="I45" s="34"/>
      <c r="J45" s="45">
        <f t="shared" si="9"/>
        <v>19104.39</v>
      </c>
      <c r="K45" s="34" t="s">
        <v>29</v>
      </c>
      <c r="L45" s="34" t="s">
        <v>96</v>
      </c>
      <c r="M45" s="34">
        <f t="shared" si="10"/>
        <v>8.7299999999999986</v>
      </c>
      <c r="N45" s="45">
        <f t="shared" si="11"/>
        <v>19281.077999999998</v>
      </c>
      <c r="O45" s="116">
        <f t="shared" si="12"/>
        <v>24679.779839999999</v>
      </c>
    </row>
    <row r="46" spans="1:16" ht="15" x14ac:dyDescent="0.4">
      <c r="A46" s="54" t="s">
        <v>99</v>
      </c>
      <c r="B46" s="22" t="s">
        <v>100</v>
      </c>
      <c r="C46" s="25" t="s">
        <v>28</v>
      </c>
      <c r="D46" s="43">
        <v>4000</v>
      </c>
      <c r="E46" s="53"/>
      <c r="F46" s="42">
        <v>8</v>
      </c>
      <c r="G46" s="34">
        <v>9.2240000000000002</v>
      </c>
      <c r="I46" s="34"/>
      <c r="J46" s="45">
        <f t="shared" si="9"/>
        <v>36896</v>
      </c>
      <c r="K46" s="34" t="s">
        <v>29</v>
      </c>
      <c r="L46" s="34" t="s">
        <v>101</v>
      </c>
      <c r="M46" s="34">
        <f>F46*$N$2</f>
        <v>9.3119999999999994</v>
      </c>
      <c r="N46" s="45">
        <f t="shared" si="11"/>
        <v>37248</v>
      </c>
      <c r="O46" s="116">
        <f t="shared" si="12"/>
        <v>47677.440000000002</v>
      </c>
    </row>
    <row r="47" spans="1:16" ht="15" x14ac:dyDescent="0.4">
      <c r="A47" s="54" t="s">
        <v>102</v>
      </c>
      <c r="B47" s="22" t="s">
        <v>103</v>
      </c>
      <c r="C47" s="25" t="s">
        <v>28</v>
      </c>
      <c r="D47" s="43">
        <f>(8815*0.7*0.4)+(8815*0.3*0.1)</f>
        <v>2732.65</v>
      </c>
      <c r="F47" s="42">
        <v>1.9</v>
      </c>
      <c r="G47" s="34">
        <f>1.9*1.153</f>
        <v>2.1907000000000001</v>
      </c>
      <c r="I47" s="34"/>
      <c r="J47" s="45">
        <f t="shared" si="9"/>
        <v>5986.4163550000003</v>
      </c>
      <c r="K47" s="34" t="s">
        <v>29</v>
      </c>
      <c r="L47" s="34" t="s">
        <v>104</v>
      </c>
      <c r="M47" s="34">
        <f t="shared" ref="M47:M111" si="13">F47*$N$2</f>
        <v>2.2115999999999998</v>
      </c>
      <c r="N47" s="45">
        <f t="shared" si="11"/>
        <v>6043.5287399999997</v>
      </c>
      <c r="O47" s="116">
        <f t="shared" si="12"/>
        <v>7735.7167872</v>
      </c>
    </row>
    <row r="48" spans="1:16" ht="15" x14ac:dyDescent="0.4">
      <c r="A48" s="54" t="s">
        <v>105</v>
      </c>
      <c r="B48" s="22" t="s">
        <v>106</v>
      </c>
      <c r="C48" s="25" t="s">
        <v>42</v>
      </c>
      <c r="D48" s="43">
        <f>8815*0.3</f>
        <v>2644.5</v>
      </c>
      <c r="F48" s="42">
        <v>7.5</v>
      </c>
      <c r="G48" s="34">
        <v>8.65</v>
      </c>
      <c r="I48" s="34"/>
      <c r="J48" s="45">
        <f t="shared" si="9"/>
        <v>22874.924999999999</v>
      </c>
      <c r="K48" s="34" t="s">
        <v>29</v>
      </c>
      <c r="L48" s="34" t="s">
        <v>104</v>
      </c>
      <c r="M48" s="34">
        <f t="shared" si="13"/>
        <v>8.7299999999999986</v>
      </c>
      <c r="N48" s="45">
        <f t="shared" si="11"/>
        <v>23086.484999999997</v>
      </c>
      <c r="O48" s="116">
        <f t="shared" si="12"/>
        <v>29550.700799999995</v>
      </c>
    </row>
    <row r="49" spans="1:16" ht="15" x14ac:dyDescent="0.4">
      <c r="A49" s="54" t="s">
        <v>107</v>
      </c>
      <c r="B49" s="22" t="s">
        <v>108</v>
      </c>
      <c r="C49" s="25" t="s">
        <v>28</v>
      </c>
      <c r="D49" s="43">
        <v>4000</v>
      </c>
      <c r="F49" s="42">
        <v>0.42</v>
      </c>
      <c r="G49" s="34">
        <f>0.42*1.153</f>
        <v>0.48425999999999997</v>
      </c>
      <c r="I49" s="34"/>
      <c r="J49" s="45">
        <f t="shared" si="9"/>
        <v>1937.04</v>
      </c>
      <c r="K49" s="34" t="s">
        <v>29</v>
      </c>
      <c r="L49" s="34" t="s">
        <v>109</v>
      </c>
      <c r="M49" s="34">
        <f t="shared" si="13"/>
        <v>0.48887999999999993</v>
      </c>
      <c r="N49" s="45">
        <f t="shared" si="11"/>
        <v>1955.5199999999998</v>
      </c>
      <c r="O49" s="116">
        <f t="shared" si="12"/>
        <v>2503.0655999999999</v>
      </c>
    </row>
    <row r="50" spans="1:16" ht="15" x14ac:dyDescent="0.4">
      <c r="A50" s="54" t="s">
        <v>110</v>
      </c>
      <c r="B50" s="22" t="s">
        <v>111</v>
      </c>
      <c r="C50" s="25" t="s">
        <v>28</v>
      </c>
      <c r="D50" s="43">
        <f>(13053/2*0.7*0.4)+(13053/2*0.3*0.1)</f>
        <v>2023.2149999999999</v>
      </c>
      <c r="F50" s="42">
        <v>1.9</v>
      </c>
      <c r="G50" s="34">
        <f>1.9*1.153</f>
        <v>2.1907000000000001</v>
      </c>
      <c r="I50" s="34"/>
      <c r="J50" s="45">
        <f t="shared" si="9"/>
        <v>4432.2571005</v>
      </c>
      <c r="K50" s="34" t="s">
        <v>29</v>
      </c>
      <c r="L50" s="34" t="s">
        <v>112</v>
      </c>
      <c r="M50" s="34">
        <f t="shared" si="13"/>
        <v>2.2115999999999998</v>
      </c>
      <c r="N50" s="45">
        <f t="shared" si="11"/>
        <v>4474.5422939999989</v>
      </c>
      <c r="O50" s="116">
        <f t="shared" si="12"/>
        <v>5727.4141363199988</v>
      </c>
    </row>
    <row r="51" spans="1:16" ht="15" x14ac:dyDescent="0.4">
      <c r="A51" s="54" t="s">
        <v>113</v>
      </c>
      <c r="B51" s="22" t="s">
        <v>114</v>
      </c>
      <c r="C51" s="25" t="s">
        <v>42</v>
      </c>
      <c r="D51" s="43">
        <f>13053/2*0.3</f>
        <v>1957.9499999999998</v>
      </c>
      <c r="F51" s="42">
        <v>7.5</v>
      </c>
      <c r="G51" s="34">
        <v>8.65</v>
      </c>
      <c r="I51" s="34"/>
      <c r="J51" s="45">
        <f t="shared" si="9"/>
        <v>16936.267499999998</v>
      </c>
      <c r="K51" s="34" t="s">
        <v>29</v>
      </c>
      <c r="L51" s="34" t="s">
        <v>112</v>
      </c>
      <c r="M51" s="34">
        <f t="shared" si="13"/>
        <v>8.7299999999999986</v>
      </c>
      <c r="N51" s="45">
        <f t="shared" si="11"/>
        <v>17092.903499999997</v>
      </c>
      <c r="O51" s="116">
        <f t="shared" si="12"/>
        <v>21878.916479999996</v>
      </c>
    </row>
    <row r="52" spans="1:16" ht="15" x14ac:dyDescent="0.4">
      <c r="A52" s="54" t="s">
        <v>115</v>
      </c>
      <c r="B52" s="22" t="s">
        <v>90</v>
      </c>
      <c r="C52" s="25" t="s">
        <v>42</v>
      </c>
      <c r="D52" s="43">
        <f>0.5*(14724/2)</f>
        <v>3681</v>
      </c>
      <c r="E52" s="41">
        <v>5</v>
      </c>
      <c r="F52" s="42">
        <v>5</v>
      </c>
      <c r="G52" s="34">
        <f>F52*1.153</f>
        <v>5.7650000000000006</v>
      </c>
      <c r="I52" s="34"/>
      <c r="J52" s="45">
        <f t="shared" si="9"/>
        <v>21220.965000000004</v>
      </c>
      <c r="K52" s="34" t="s">
        <v>29</v>
      </c>
      <c r="L52" s="34" t="s">
        <v>116</v>
      </c>
      <c r="M52" s="34">
        <f t="shared" si="13"/>
        <v>5.8199999999999994</v>
      </c>
      <c r="N52" s="45">
        <f t="shared" si="11"/>
        <v>21423.42</v>
      </c>
      <c r="O52" s="129"/>
      <c r="P52" s="34" t="s">
        <v>404</v>
      </c>
    </row>
    <row r="53" spans="1:16" x14ac:dyDescent="0.3">
      <c r="A53" s="2">
        <v>3.3</v>
      </c>
      <c r="B53" s="1" t="s">
        <v>117</v>
      </c>
      <c r="D53" s="43"/>
      <c r="G53" s="34"/>
      <c r="I53" s="44"/>
      <c r="J53" s="45"/>
      <c r="K53" s="25"/>
      <c r="N53" s="45"/>
      <c r="O53" s="106"/>
    </row>
    <row r="54" spans="1:16" ht="14.6" x14ac:dyDescent="0.4">
      <c r="A54" s="46" t="s">
        <v>118</v>
      </c>
      <c r="B54" s="25" t="s">
        <v>119</v>
      </c>
      <c r="D54" s="43"/>
      <c r="G54" s="34"/>
      <c r="I54" s="44"/>
      <c r="J54" s="45"/>
      <c r="K54" s="25"/>
      <c r="L54" s="34" t="s">
        <v>120</v>
      </c>
      <c r="N54" s="45"/>
      <c r="O54" s="131">
        <v>1500</v>
      </c>
      <c r="P54" s="34" t="s">
        <v>390</v>
      </c>
    </row>
    <row r="55" spans="1:16" x14ac:dyDescent="0.3">
      <c r="A55" s="5">
        <v>3.4</v>
      </c>
      <c r="B55" s="1" t="s">
        <v>121</v>
      </c>
      <c r="C55" s="25" t="s">
        <v>23</v>
      </c>
      <c r="D55" s="43"/>
      <c r="G55" s="34"/>
      <c r="H55" s="42">
        <v>2100</v>
      </c>
      <c r="I55" s="44">
        <f>H55*1.153</f>
        <v>2421.3000000000002</v>
      </c>
      <c r="J55" s="45">
        <f>I55</f>
        <v>2421.3000000000002</v>
      </c>
      <c r="K55" s="34" t="s">
        <v>24</v>
      </c>
      <c r="N55" s="45">
        <f>H55*$N$2</f>
        <v>2444.3999999999996</v>
      </c>
      <c r="O55" s="106"/>
      <c r="P55" s="34" t="s">
        <v>391</v>
      </c>
    </row>
    <row r="56" spans="1:16" x14ac:dyDescent="0.3">
      <c r="A56" s="5">
        <v>3.5</v>
      </c>
      <c r="B56" s="1" t="s">
        <v>122</v>
      </c>
      <c r="D56" s="43"/>
      <c r="G56" s="34"/>
      <c r="I56" s="44"/>
      <c r="J56" s="45"/>
      <c r="N56" s="45"/>
      <c r="O56" s="106"/>
    </row>
    <row r="57" spans="1:16" ht="15" x14ac:dyDescent="0.4">
      <c r="A57" s="55" t="s">
        <v>381</v>
      </c>
      <c r="B57" s="25" t="s">
        <v>124</v>
      </c>
      <c r="C57" s="25" t="s">
        <v>42</v>
      </c>
      <c r="D57" s="43">
        <v>15000</v>
      </c>
      <c r="E57" s="41">
        <v>0.2</v>
      </c>
      <c r="F57" s="42">
        <v>0.2</v>
      </c>
      <c r="G57" s="34">
        <f>F57*1.153</f>
        <v>0.23060000000000003</v>
      </c>
      <c r="I57" s="44">
        <f>D57*G57</f>
        <v>3459.0000000000005</v>
      </c>
      <c r="J57" s="45">
        <f t="shared" ref="J57:J66" si="14">I57</f>
        <v>3459.0000000000005</v>
      </c>
      <c r="K57" s="34" t="s">
        <v>29</v>
      </c>
      <c r="M57" s="34">
        <f t="shared" si="13"/>
        <v>0.23280000000000001</v>
      </c>
      <c r="N57" s="45">
        <f t="shared" ref="N57" si="15">D57*M57</f>
        <v>3492</v>
      </c>
      <c r="O57" s="116">
        <f>N57*$O$6</f>
        <v>4469.76</v>
      </c>
    </row>
    <row r="58" spans="1:16" ht="15" x14ac:dyDescent="0.4">
      <c r="A58" s="5">
        <v>3.6</v>
      </c>
      <c r="B58" s="25" t="s">
        <v>380</v>
      </c>
      <c r="C58" s="25" t="s">
        <v>42</v>
      </c>
      <c r="D58" s="133">
        <v>1758</v>
      </c>
      <c r="G58" s="34"/>
      <c r="I58" s="44"/>
      <c r="J58" s="45"/>
      <c r="M58" s="34">
        <v>8.73</v>
      </c>
      <c r="N58" s="45"/>
      <c r="O58" s="131">
        <f>D58*M58*O6</f>
        <v>19644.5952</v>
      </c>
      <c r="P58" s="25" t="s">
        <v>392</v>
      </c>
    </row>
    <row r="59" spans="1:16" x14ac:dyDescent="0.3">
      <c r="A59" s="55"/>
      <c r="D59" s="43"/>
      <c r="G59" s="34"/>
      <c r="I59" s="44"/>
      <c r="J59" s="45"/>
      <c r="N59" s="45"/>
      <c r="O59" s="106"/>
    </row>
    <row r="60" spans="1:16" x14ac:dyDescent="0.3">
      <c r="A60" s="2">
        <v>4</v>
      </c>
      <c r="B60" s="1" t="s">
        <v>125</v>
      </c>
      <c r="D60" s="43"/>
      <c r="G60" s="34"/>
      <c r="I60" s="44"/>
      <c r="J60" s="45"/>
      <c r="N60" s="45"/>
      <c r="O60" s="106"/>
    </row>
    <row r="61" spans="1:16" x14ac:dyDescent="0.3">
      <c r="A61" s="2">
        <v>4.0999999999999996</v>
      </c>
      <c r="B61" s="1" t="s">
        <v>126</v>
      </c>
      <c r="D61" s="43"/>
      <c r="G61" s="34"/>
      <c r="I61" s="44"/>
      <c r="J61" s="45"/>
      <c r="N61" s="45"/>
      <c r="O61" s="106"/>
    </row>
    <row r="62" spans="1:16" ht="14.6" x14ac:dyDescent="0.4">
      <c r="A62" s="46" t="s">
        <v>127</v>
      </c>
      <c r="B62" s="25" t="s">
        <v>128</v>
      </c>
      <c r="C62" s="25" t="s">
        <v>23</v>
      </c>
      <c r="D62" s="43"/>
      <c r="G62" s="34"/>
      <c r="H62" s="42">
        <v>1000</v>
      </c>
      <c r="I62" s="44">
        <f t="shared" si="0"/>
        <v>1153</v>
      </c>
      <c r="J62" s="45">
        <f t="shared" si="14"/>
        <v>1153</v>
      </c>
      <c r="K62" s="34" t="s">
        <v>24</v>
      </c>
      <c r="N62" s="45">
        <f>H62*$N$2</f>
        <v>1164</v>
      </c>
      <c r="O62" s="116">
        <f>N62*$O$6</f>
        <v>1489.92</v>
      </c>
      <c r="P62" s="34" t="s">
        <v>386</v>
      </c>
    </row>
    <row r="63" spans="1:16" ht="14.25" customHeight="1" x14ac:dyDescent="0.4">
      <c r="A63" s="46" t="s">
        <v>129</v>
      </c>
      <c r="B63" s="25" t="s">
        <v>130</v>
      </c>
      <c r="C63" s="25" t="s">
        <v>42</v>
      </c>
      <c r="D63" s="43">
        <v>22500</v>
      </c>
      <c r="E63" s="41">
        <v>0.21</v>
      </c>
      <c r="F63" s="42">
        <v>0.5</v>
      </c>
      <c r="G63" s="34">
        <f>F63*1.153</f>
        <v>0.57650000000000001</v>
      </c>
      <c r="I63" s="44">
        <f>D63*G63</f>
        <v>12971.25</v>
      </c>
      <c r="J63" s="45">
        <f t="shared" si="14"/>
        <v>12971.25</v>
      </c>
      <c r="K63" s="34" t="s">
        <v>29</v>
      </c>
      <c r="M63" s="34">
        <f t="shared" si="13"/>
        <v>0.58199999999999996</v>
      </c>
      <c r="N63" s="45">
        <f t="shared" ref="N63:N66" si="16">D63*M63</f>
        <v>13095</v>
      </c>
      <c r="O63" s="129">
        <f>N63*$O$6*(0.23/0.58)</f>
        <v>6646.8413793103455</v>
      </c>
      <c r="P63" s="136" t="s">
        <v>405</v>
      </c>
    </row>
    <row r="64" spans="1:16" ht="14.6" x14ac:dyDescent="0.4">
      <c r="A64" s="46" t="s">
        <v>131</v>
      </c>
      <c r="B64" s="25" t="s">
        <v>132</v>
      </c>
      <c r="C64" s="25" t="s">
        <v>133</v>
      </c>
      <c r="D64" s="56">
        <f>D63/10000</f>
        <v>2.25</v>
      </c>
      <c r="E64" s="41">
        <v>2000</v>
      </c>
      <c r="F64" s="42">
        <v>2000</v>
      </c>
      <c r="G64" s="34">
        <f>F64*1.153</f>
        <v>2306</v>
      </c>
      <c r="I64" s="44">
        <f>D64*G64</f>
        <v>5188.5</v>
      </c>
      <c r="J64" s="45">
        <f t="shared" si="14"/>
        <v>5188.5</v>
      </c>
      <c r="K64" s="34" t="s">
        <v>29</v>
      </c>
      <c r="M64" s="34">
        <f t="shared" si="13"/>
        <v>2328</v>
      </c>
      <c r="N64" s="45">
        <f t="shared" si="16"/>
        <v>5238</v>
      </c>
      <c r="O64" s="116">
        <f>N64*$O$6</f>
        <v>6704.64</v>
      </c>
      <c r="P64" s="137"/>
    </row>
    <row r="65" spans="1:16" ht="15" x14ac:dyDescent="0.4">
      <c r="A65" s="46" t="s">
        <v>134</v>
      </c>
      <c r="B65" s="25" t="s">
        <v>135</v>
      </c>
      <c r="C65" s="25" t="s">
        <v>42</v>
      </c>
      <c r="D65" s="43">
        <v>1020</v>
      </c>
      <c r="E65" s="41">
        <v>0.2</v>
      </c>
      <c r="F65" s="42">
        <v>0.2</v>
      </c>
      <c r="G65" s="34">
        <f>F65*1.153</f>
        <v>0.23060000000000003</v>
      </c>
      <c r="I65" s="44">
        <f>D65*G65</f>
        <v>235.21200000000002</v>
      </c>
      <c r="J65" s="45">
        <f t="shared" si="14"/>
        <v>235.21200000000002</v>
      </c>
      <c r="K65" s="34" t="s">
        <v>29</v>
      </c>
      <c r="M65" s="34">
        <f t="shared" si="13"/>
        <v>0.23280000000000001</v>
      </c>
      <c r="N65" s="45">
        <f t="shared" si="16"/>
        <v>237.45600000000002</v>
      </c>
      <c r="O65" s="116">
        <f>N65*$O$6</f>
        <v>303.94368000000003</v>
      </c>
      <c r="P65" s="52"/>
    </row>
    <row r="66" spans="1:16" ht="15" x14ac:dyDescent="0.4">
      <c r="A66" s="46" t="s">
        <v>136</v>
      </c>
      <c r="B66" s="25" t="s">
        <v>137</v>
      </c>
      <c r="C66" s="25" t="s">
        <v>42</v>
      </c>
      <c r="D66" s="43">
        <f>(10000*D64)*0.15</f>
        <v>3375</v>
      </c>
      <c r="F66" s="42">
        <v>4</v>
      </c>
      <c r="G66" s="34">
        <f>F66*1.153</f>
        <v>4.6120000000000001</v>
      </c>
      <c r="I66" s="44">
        <f>D66*G66</f>
        <v>15565.5</v>
      </c>
      <c r="J66" s="45">
        <f t="shared" si="14"/>
        <v>15565.5</v>
      </c>
      <c r="K66" s="34" t="s">
        <v>29</v>
      </c>
      <c r="M66" s="34">
        <f t="shared" si="13"/>
        <v>4.6559999999999997</v>
      </c>
      <c r="N66" s="45">
        <f t="shared" si="16"/>
        <v>15713.999999999998</v>
      </c>
      <c r="O66" s="129"/>
      <c r="P66" s="115" t="s">
        <v>406</v>
      </c>
    </row>
    <row r="67" spans="1:16" x14ac:dyDescent="0.3">
      <c r="A67" s="12" t="s">
        <v>138</v>
      </c>
      <c r="B67" s="13" t="s">
        <v>72</v>
      </c>
      <c r="D67" s="43"/>
      <c r="G67" s="34"/>
      <c r="I67" s="44"/>
      <c r="J67" s="34"/>
      <c r="N67" s="34"/>
      <c r="O67" s="106"/>
    </row>
    <row r="68" spans="1:16" ht="14.15" x14ac:dyDescent="0.3">
      <c r="A68" s="37" t="s">
        <v>139</v>
      </c>
      <c r="B68" s="32" t="s">
        <v>140</v>
      </c>
      <c r="C68" s="25" t="s">
        <v>42</v>
      </c>
      <c r="D68" s="43">
        <v>6672</v>
      </c>
      <c r="E68" s="41">
        <v>0.2</v>
      </c>
      <c r="F68" s="42">
        <v>0.2</v>
      </c>
      <c r="G68" s="34">
        <f>F68*1.153</f>
        <v>0.23060000000000003</v>
      </c>
      <c r="I68" s="44">
        <f>D68*G68</f>
        <v>1538.5632000000003</v>
      </c>
      <c r="J68" s="34"/>
      <c r="N68" s="34"/>
      <c r="O68" s="106"/>
    </row>
    <row r="69" spans="1:16" x14ac:dyDescent="0.3">
      <c r="A69" s="37" t="s">
        <v>141</v>
      </c>
      <c r="B69" s="32" t="s">
        <v>142</v>
      </c>
      <c r="C69" s="26" t="s">
        <v>133</v>
      </c>
      <c r="D69" s="56">
        <f>D68/10000</f>
        <v>0.66720000000000002</v>
      </c>
      <c r="E69" s="41">
        <v>2000</v>
      </c>
      <c r="F69" s="42">
        <v>2000</v>
      </c>
      <c r="G69" s="34">
        <f>F69*1.153</f>
        <v>2306</v>
      </c>
      <c r="I69" s="44">
        <f>D69*G69</f>
        <v>1538.5632000000001</v>
      </c>
      <c r="J69" s="34"/>
      <c r="N69" s="34"/>
      <c r="O69" s="106"/>
    </row>
    <row r="70" spans="1:16" ht="14.15" x14ac:dyDescent="0.3">
      <c r="A70" s="37" t="s">
        <v>143</v>
      </c>
      <c r="B70" s="32" t="s">
        <v>144</v>
      </c>
      <c r="C70" s="25" t="s">
        <v>42</v>
      </c>
      <c r="D70" s="43">
        <f>D68/2*0.15</f>
        <v>500.4</v>
      </c>
      <c r="E70" s="48">
        <v>4</v>
      </c>
      <c r="F70" s="42">
        <v>4</v>
      </c>
      <c r="G70" s="34">
        <f>F70*1.153</f>
        <v>4.6120000000000001</v>
      </c>
      <c r="I70" s="44">
        <f>D70*G70</f>
        <v>2307.8447999999999</v>
      </c>
      <c r="J70" s="34"/>
      <c r="K70" s="34" t="s">
        <v>29</v>
      </c>
      <c r="L70" s="34" t="s">
        <v>145</v>
      </c>
      <c r="N70" s="34"/>
      <c r="O70" s="106"/>
    </row>
    <row r="71" spans="1:16" x14ac:dyDescent="0.3">
      <c r="A71" s="14" t="s">
        <v>146</v>
      </c>
      <c r="B71" s="15" t="s">
        <v>93</v>
      </c>
      <c r="D71" s="43"/>
      <c r="G71" s="34"/>
      <c r="I71" s="34"/>
      <c r="J71" s="45"/>
      <c r="N71" s="45"/>
      <c r="O71" s="106"/>
    </row>
    <row r="72" spans="1:16" ht="15" customHeight="1" x14ac:dyDescent="0.4">
      <c r="A72" s="54" t="s">
        <v>147</v>
      </c>
      <c r="B72" s="22" t="s">
        <v>148</v>
      </c>
      <c r="C72" s="25" t="s">
        <v>42</v>
      </c>
      <c r="D72" s="43">
        <f>(14724/2)+(8815)+(13053/2)</f>
        <v>22703.5</v>
      </c>
      <c r="E72" s="41">
        <v>0.2</v>
      </c>
      <c r="F72" s="42">
        <v>0.2</v>
      </c>
      <c r="G72" s="34">
        <f>E72*1.153</f>
        <v>0.23060000000000003</v>
      </c>
      <c r="I72" s="34"/>
      <c r="J72" s="45">
        <f>D72*G72</f>
        <v>5235.4271000000008</v>
      </c>
      <c r="K72" s="34" t="s">
        <v>29</v>
      </c>
      <c r="L72" s="34" t="s">
        <v>149</v>
      </c>
      <c r="M72" s="34">
        <f t="shared" si="13"/>
        <v>0.23280000000000001</v>
      </c>
      <c r="N72" s="45">
        <f t="shared" ref="N72:N74" si="17">D72*M72</f>
        <v>5285.3748000000005</v>
      </c>
      <c r="O72" s="116">
        <f>N72*$O$6</f>
        <v>6765.2797440000004</v>
      </c>
      <c r="P72" s="136" t="s">
        <v>407</v>
      </c>
    </row>
    <row r="73" spans="1:16" ht="14.6" x14ac:dyDescent="0.4">
      <c r="A73" s="54" t="s">
        <v>150</v>
      </c>
      <c r="B73" s="22" t="s">
        <v>151</v>
      </c>
      <c r="C73" s="26" t="s">
        <v>133</v>
      </c>
      <c r="D73" s="56">
        <f>((14724/2)+(8815)+(13053/2))/10000</f>
        <v>2.2703500000000001</v>
      </c>
      <c r="E73" s="41">
        <v>2000</v>
      </c>
      <c r="F73" s="42">
        <v>2000</v>
      </c>
      <c r="G73" s="34">
        <f>E73*1.153</f>
        <v>2306</v>
      </c>
      <c r="I73" s="34"/>
      <c r="J73" s="45">
        <f>D73*G73</f>
        <v>5235.4270999999999</v>
      </c>
      <c r="K73" s="34" t="s">
        <v>29</v>
      </c>
      <c r="L73" s="34" t="s">
        <v>152</v>
      </c>
      <c r="M73" s="34">
        <f t="shared" si="13"/>
        <v>2328</v>
      </c>
      <c r="N73" s="45">
        <f t="shared" si="17"/>
        <v>5285.3748000000005</v>
      </c>
      <c r="O73" s="116">
        <f>N73*$O$6</f>
        <v>6765.2797440000004</v>
      </c>
      <c r="P73" s="137"/>
    </row>
    <row r="74" spans="1:16" ht="15" x14ac:dyDescent="0.4">
      <c r="A74" s="54" t="s">
        <v>153</v>
      </c>
      <c r="B74" s="22" t="s">
        <v>144</v>
      </c>
      <c r="C74" s="25" t="s">
        <v>42</v>
      </c>
      <c r="D74" s="43">
        <f>(D72-(13053/2))*0.15</f>
        <v>2426.5499999999997</v>
      </c>
      <c r="E74" s="41">
        <v>4</v>
      </c>
      <c r="F74" s="42">
        <v>4</v>
      </c>
      <c r="G74" s="34">
        <f>F74*1.153</f>
        <v>4.6120000000000001</v>
      </c>
      <c r="I74" s="34"/>
      <c r="J74" s="45">
        <f>D74*G74</f>
        <v>11191.248599999999</v>
      </c>
      <c r="K74" s="34" t="s">
        <v>29</v>
      </c>
      <c r="L74" s="34" t="s">
        <v>154</v>
      </c>
      <c r="M74" s="34">
        <f t="shared" si="13"/>
        <v>4.6559999999999997</v>
      </c>
      <c r="N74" s="45">
        <f t="shared" si="17"/>
        <v>11298.016799999998</v>
      </c>
      <c r="O74" s="129"/>
      <c r="P74" s="115" t="s">
        <v>406</v>
      </c>
    </row>
    <row r="75" spans="1:16" ht="14.6" x14ac:dyDescent="0.4">
      <c r="A75" s="54" t="s">
        <v>155</v>
      </c>
      <c r="B75" s="22" t="s">
        <v>156</v>
      </c>
      <c r="C75" s="26"/>
      <c r="D75" s="43">
        <v>1750</v>
      </c>
      <c r="G75" s="34">
        <v>3.6</v>
      </c>
      <c r="I75" s="34"/>
      <c r="J75" s="45">
        <f>D75*G75</f>
        <v>6300</v>
      </c>
      <c r="K75" s="34" t="s">
        <v>157</v>
      </c>
      <c r="L75" s="34" t="s">
        <v>158</v>
      </c>
      <c r="M75" s="34">
        <v>3.6</v>
      </c>
      <c r="N75" s="45">
        <f>D75*M75</f>
        <v>6300</v>
      </c>
      <c r="O75" s="129">
        <f>(N75*$O$6)*((1750-310)/1750)</f>
        <v>6635.5199999999995</v>
      </c>
      <c r="P75" s="34" t="s">
        <v>387</v>
      </c>
    </row>
    <row r="76" spans="1:16" x14ac:dyDescent="0.3">
      <c r="A76" s="2">
        <v>4.3</v>
      </c>
      <c r="B76" s="1" t="s">
        <v>159</v>
      </c>
      <c r="C76" s="26"/>
      <c r="D76" s="58"/>
      <c r="G76" s="34"/>
      <c r="I76" s="34"/>
      <c r="J76" s="45"/>
      <c r="N76" s="45"/>
      <c r="O76" s="106"/>
    </row>
    <row r="77" spans="1:16" ht="15" x14ac:dyDescent="0.4">
      <c r="A77" s="46" t="s">
        <v>160</v>
      </c>
      <c r="B77" s="25" t="s">
        <v>161</v>
      </c>
      <c r="C77" s="25" t="s">
        <v>42</v>
      </c>
      <c r="D77" s="43">
        <v>500</v>
      </c>
      <c r="E77" s="41">
        <v>0.2</v>
      </c>
      <c r="F77" s="42">
        <v>0.2</v>
      </c>
      <c r="G77" s="34">
        <f>F77*1.153</f>
        <v>0.23060000000000003</v>
      </c>
      <c r="I77" s="44">
        <f>D77*G77</f>
        <v>115.30000000000001</v>
      </c>
      <c r="J77" s="45">
        <f>I77</f>
        <v>115.30000000000001</v>
      </c>
      <c r="K77" s="34" t="s">
        <v>29</v>
      </c>
      <c r="L77" s="34" t="s">
        <v>162</v>
      </c>
      <c r="M77" s="34">
        <f t="shared" si="13"/>
        <v>0.23280000000000001</v>
      </c>
      <c r="N77" s="45">
        <f t="shared" ref="N77:N79" si="18">D77*M77</f>
        <v>116.4</v>
      </c>
      <c r="O77" s="116">
        <f>N77*$O$6</f>
        <v>148.99200000000002</v>
      </c>
    </row>
    <row r="78" spans="1:16" ht="14.6" x14ac:dyDescent="0.4">
      <c r="A78" s="46" t="s">
        <v>163</v>
      </c>
      <c r="B78" s="25" t="s">
        <v>164</v>
      </c>
      <c r="C78" s="25" t="s">
        <v>133</v>
      </c>
      <c r="D78" s="56">
        <v>0.05</v>
      </c>
      <c r="E78" s="41">
        <v>2000</v>
      </c>
      <c r="F78" s="42">
        <v>2000</v>
      </c>
      <c r="G78" s="34">
        <f>F78*1.153</f>
        <v>2306</v>
      </c>
      <c r="I78" s="44">
        <f>D78*G78</f>
        <v>115.30000000000001</v>
      </c>
      <c r="J78" s="45">
        <f t="shared" ref="J78:J85" si="19">I78</f>
        <v>115.30000000000001</v>
      </c>
      <c r="K78" s="34" t="s">
        <v>29</v>
      </c>
      <c r="M78" s="34">
        <f t="shared" si="13"/>
        <v>2328</v>
      </c>
      <c r="N78" s="45">
        <f t="shared" si="18"/>
        <v>116.4</v>
      </c>
      <c r="O78" s="116">
        <f>N78*$O$6</f>
        <v>148.99200000000002</v>
      </c>
    </row>
    <row r="79" spans="1:16" ht="15" x14ac:dyDescent="0.4">
      <c r="A79" s="46" t="s">
        <v>165</v>
      </c>
      <c r="B79" s="25" t="s">
        <v>137</v>
      </c>
      <c r="C79" s="25" t="s">
        <v>42</v>
      </c>
      <c r="D79" s="43">
        <f>D77*0.15</f>
        <v>75</v>
      </c>
      <c r="F79" s="42">
        <v>4</v>
      </c>
      <c r="G79" s="34">
        <f>F79*1.153</f>
        <v>4.6120000000000001</v>
      </c>
      <c r="I79" s="44">
        <f>D79*G79</f>
        <v>345.90000000000003</v>
      </c>
      <c r="J79" s="45">
        <f t="shared" si="19"/>
        <v>345.90000000000003</v>
      </c>
      <c r="K79" s="34" t="s">
        <v>29</v>
      </c>
      <c r="M79" s="34">
        <f t="shared" si="13"/>
        <v>4.6559999999999997</v>
      </c>
      <c r="N79" s="45">
        <f t="shared" si="18"/>
        <v>349.2</v>
      </c>
      <c r="O79" s="116">
        <f>N79*$O$6</f>
        <v>446.976</v>
      </c>
    </row>
    <row r="80" spans="1:16" ht="14.6" x14ac:dyDescent="0.4">
      <c r="A80" s="46" t="s">
        <v>166</v>
      </c>
      <c r="B80" s="25" t="s">
        <v>156</v>
      </c>
      <c r="C80" s="26"/>
      <c r="D80" s="43">
        <v>250</v>
      </c>
      <c r="G80" s="34">
        <v>3.6</v>
      </c>
      <c r="I80" s="44">
        <f>D80*G80</f>
        <v>900</v>
      </c>
      <c r="J80" s="45">
        <f t="shared" si="19"/>
        <v>900</v>
      </c>
      <c r="K80" s="34" t="s">
        <v>157</v>
      </c>
      <c r="L80" s="34" t="s">
        <v>167</v>
      </c>
      <c r="M80" s="34">
        <v>3.6</v>
      </c>
      <c r="N80" s="45">
        <f>D80*M80</f>
        <v>900</v>
      </c>
      <c r="O80" s="129"/>
      <c r="P80" s="34" t="s">
        <v>394</v>
      </c>
    </row>
    <row r="81" spans="1:16" x14ac:dyDescent="0.3">
      <c r="A81" s="2">
        <v>4.5</v>
      </c>
      <c r="B81" s="1" t="s">
        <v>168</v>
      </c>
      <c r="D81" s="43"/>
      <c r="G81" s="34"/>
      <c r="I81" s="44"/>
      <c r="J81" s="45"/>
      <c r="N81" s="45"/>
      <c r="O81" s="106"/>
    </row>
    <row r="82" spans="1:16" ht="15" x14ac:dyDescent="0.4">
      <c r="A82" s="46" t="s">
        <v>169</v>
      </c>
      <c r="B82" s="25" t="s">
        <v>170</v>
      </c>
      <c r="C82" s="25" t="s">
        <v>42</v>
      </c>
      <c r="D82" s="43">
        <v>3500</v>
      </c>
      <c r="E82" s="41">
        <v>0.21</v>
      </c>
      <c r="F82" s="42">
        <v>0.5</v>
      </c>
      <c r="G82" s="34">
        <f>F82*1.153</f>
        <v>0.57650000000000001</v>
      </c>
      <c r="I82" s="44">
        <f>D82*G82</f>
        <v>2017.75</v>
      </c>
      <c r="J82" s="45">
        <f t="shared" si="19"/>
        <v>2017.75</v>
      </c>
      <c r="K82" s="34" t="s">
        <v>29</v>
      </c>
      <c r="M82" s="34">
        <f t="shared" si="13"/>
        <v>0.58199999999999996</v>
      </c>
      <c r="N82" s="45">
        <f t="shared" ref="N82" si="20">D82*M82</f>
        <v>2036.9999999999998</v>
      </c>
      <c r="O82" s="129">
        <f>N82*$O$6*(0.23/0.58)</f>
        <v>1033.9531034482759</v>
      </c>
      <c r="P82" s="34" t="s">
        <v>393</v>
      </c>
    </row>
    <row r="83" spans="1:16" x14ac:dyDescent="0.3">
      <c r="A83" s="46"/>
      <c r="D83" s="43"/>
      <c r="G83" s="34"/>
      <c r="I83" s="44"/>
      <c r="J83" s="45"/>
      <c r="N83" s="45"/>
      <c r="O83" s="106"/>
    </row>
    <row r="84" spans="1:16" x14ac:dyDescent="0.3">
      <c r="A84" s="2">
        <v>5</v>
      </c>
      <c r="B84" s="1" t="s">
        <v>171</v>
      </c>
      <c r="D84" s="43"/>
      <c r="G84" s="34"/>
      <c r="I84" s="44"/>
      <c r="J84" s="45"/>
      <c r="N84" s="45"/>
      <c r="O84" s="106"/>
    </row>
    <row r="85" spans="1:16" ht="14.6" x14ac:dyDescent="0.4">
      <c r="A85" s="46">
        <v>5.0999999999999996</v>
      </c>
      <c r="B85" s="25" t="s">
        <v>172</v>
      </c>
      <c r="C85" s="25" t="s">
        <v>23</v>
      </c>
      <c r="D85" s="59"/>
      <c r="E85" s="41">
        <v>4200</v>
      </c>
      <c r="G85" s="34"/>
      <c r="H85" s="42">
        <v>4200</v>
      </c>
      <c r="I85" s="44">
        <f t="shared" ref="I85" si="21">H85*1.153</f>
        <v>4842.6000000000004</v>
      </c>
      <c r="J85" s="45">
        <f t="shared" si="19"/>
        <v>4842.6000000000004</v>
      </c>
      <c r="K85" s="34" t="s">
        <v>24</v>
      </c>
      <c r="N85" s="45">
        <f t="shared" ref="N85" si="22">H85*$N$2</f>
        <v>4888.7999999999993</v>
      </c>
      <c r="O85" s="116">
        <f>N85*$O$6</f>
        <v>6257.6639999999989</v>
      </c>
    </row>
    <row r="86" spans="1:16" x14ac:dyDescent="0.3">
      <c r="A86" s="46"/>
      <c r="B86" s="3" t="s">
        <v>173</v>
      </c>
      <c r="D86" s="59"/>
      <c r="G86" s="34"/>
      <c r="I86" s="44">
        <f>SUM(I8:I85)</f>
        <v>284095.88043199998</v>
      </c>
      <c r="J86" s="45">
        <f>SUM(J8:J85)</f>
        <v>334949.87962949992</v>
      </c>
      <c r="N86" s="17">
        <f>SUM(N8:N85)</f>
        <v>338077.525846</v>
      </c>
      <c r="O86" s="17">
        <f>SUM(O8:O85)</f>
        <v>371081.53258963872</v>
      </c>
    </row>
    <row r="87" spans="1:16" x14ac:dyDescent="0.3">
      <c r="A87" s="46"/>
      <c r="B87" s="3"/>
      <c r="D87" s="59"/>
      <c r="G87" s="34"/>
      <c r="I87" s="44"/>
      <c r="J87" s="45"/>
      <c r="N87" s="45"/>
      <c r="O87" s="106"/>
    </row>
    <row r="88" spans="1:16" x14ac:dyDescent="0.3">
      <c r="A88" s="2">
        <v>6</v>
      </c>
      <c r="B88" s="1" t="s">
        <v>174</v>
      </c>
      <c r="D88" s="59"/>
      <c r="G88" s="34"/>
      <c r="I88" s="44"/>
      <c r="J88" s="45"/>
      <c r="N88" s="45"/>
      <c r="O88" s="106"/>
    </row>
    <row r="89" spans="1:16" ht="14.6" x14ac:dyDescent="0.4">
      <c r="A89" s="46">
        <v>6.1</v>
      </c>
      <c r="B89" s="47" t="s">
        <v>175</v>
      </c>
      <c r="C89" s="25" t="s">
        <v>176</v>
      </c>
      <c r="D89" s="87"/>
      <c r="E89" s="48">
        <v>7.0000000000000007E-2</v>
      </c>
      <c r="F89" s="88">
        <v>8.5000000000000006E-2</v>
      </c>
      <c r="G89" s="63">
        <v>8.5000000000000006E-2</v>
      </c>
      <c r="I89" s="44">
        <f>I86*G89</f>
        <v>24148.14983672</v>
      </c>
      <c r="J89" s="45">
        <f>J86*G89</f>
        <v>28470.739768507494</v>
      </c>
      <c r="K89" s="89"/>
      <c r="L89" s="34" t="s">
        <v>177</v>
      </c>
      <c r="N89" s="45">
        <f>N86*$G$89</f>
        <v>28736.589696910003</v>
      </c>
      <c r="O89" s="132">
        <f>O86*$G$89</f>
        <v>31541.930270119294</v>
      </c>
    </row>
    <row r="90" spans="1:16" x14ac:dyDescent="0.3">
      <c r="A90" s="46"/>
      <c r="D90" s="59"/>
      <c r="G90" s="34"/>
      <c r="I90" s="44"/>
      <c r="J90" s="45"/>
      <c r="N90" s="45"/>
      <c r="O90" s="106"/>
    </row>
    <row r="91" spans="1:16" x14ac:dyDescent="0.3">
      <c r="A91" s="46"/>
      <c r="B91" s="3" t="s">
        <v>178</v>
      </c>
      <c r="D91" s="59"/>
      <c r="G91" s="34"/>
      <c r="I91" s="16">
        <f>SUM(I86:I89)</f>
        <v>308244.03026872</v>
      </c>
      <c r="J91" s="17">
        <f>SUM(J86:J89)</f>
        <v>363420.6193980074</v>
      </c>
      <c r="N91" s="17">
        <f>SUM(N86:N89)</f>
        <v>366814.11554291</v>
      </c>
      <c r="O91" s="17">
        <f>SUM(O86:O89)</f>
        <v>402623.462859758</v>
      </c>
    </row>
    <row r="92" spans="1:16" x14ac:dyDescent="0.3">
      <c r="A92" s="46"/>
      <c r="B92" s="3"/>
      <c r="D92" s="59"/>
      <c r="G92" s="34"/>
      <c r="I92" s="44"/>
      <c r="J92" s="45"/>
      <c r="N92" s="45"/>
      <c r="O92" s="106"/>
    </row>
    <row r="93" spans="1:16" x14ac:dyDescent="0.3">
      <c r="A93" s="2">
        <v>7</v>
      </c>
      <c r="B93" s="1" t="s">
        <v>179</v>
      </c>
      <c r="D93" s="59"/>
      <c r="E93" s="41">
        <v>0.1</v>
      </c>
      <c r="G93" s="60">
        <v>0.1</v>
      </c>
      <c r="I93" s="44">
        <f>I91*G93</f>
        <v>30824.403026872002</v>
      </c>
      <c r="J93" s="45">
        <f>J91*G93</f>
        <v>36342.06193980074</v>
      </c>
      <c r="N93" s="45">
        <f>N91*$G$93</f>
        <v>36681.411554291</v>
      </c>
      <c r="O93" s="45">
        <f>O91*$G$93</f>
        <v>40262.3462859758</v>
      </c>
    </row>
    <row r="94" spans="1:16" x14ac:dyDescent="0.3">
      <c r="A94" s="46"/>
      <c r="B94" s="3" t="s">
        <v>180</v>
      </c>
      <c r="D94" s="59"/>
      <c r="G94" s="34"/>
      <c r="I94" s="16">
        <f>SUM(I91:I93)</f>
        <v>339068.43329559203</v>
      </c>
      <c r="J94" s="17">
        <f>SUM(J91:J93)</f>
        <v>399762.68133780814</v>
      </c>
      <c r="N94" s="17">
        <f>SUM(N91:N93)</f>
        <v>403495.52709720097</v>
      </c>
      <c r="O94" s="17">
        <f>SUM(O91:O93)</f>
        <v>442885.80914573383</v>
      </c>
    </row>
    <row r="95" spans="1:16" x14ac:dyDescent="0.3">
      <c r="A95" s="46"/>
      <c r="B95" s="3"/>
      <c r="D95" s="59"/>
      <c r="G95" s="34"/>
      <c r="I95" s="44"/>
      <c r="J95" s="45"/>
      <c r="N95" s="45"/>
      <c r="O95" s="106"/>
    </row>
    <row r="96" spans="1:16" x14ac:dyDescent="0.3">
      <c r="A96" s="2">
        <v>8</v>
      </c>
      <c r="B96" s="1" t="s">
        <v>181</v>
      </c>
      <c r="C96" s="25" t="s">
        <v>182</v>
      </c>
      <c r="D96" s="43">
        <v>2</v>
      </c>
      <c r="E96" s="41">
        <v>3.5000000000000003E-2</v>
      </c>
      <c r="G96" s="90">
        <v>3.5000000000000003E-2</v>
      </c>
      <c r="I96" s="44">
        <f>I94*G96*D96</f>
        <v>23734.790330691445</v>
      </c>
      <c r="J96" s="45">
        <f>J94*G96*D96</f>
        <v>27983.387693646571</v>
      </c>
      <c r="M96" s="90"/>
      <c r="N96" s="45">
        <f>D96*G96*N94</f>
        <v>28244.686896804073</v>
      </c>
      <c r="O96" s="45">
        <f>D96*G96*O94</f>
        <v>31002.006640201373</v>
      </c>
      <c r="P96" s="34" t="s">
        <v>183</v>
      </c>
    </row>
    <row r="97" spans="1:15" x14ac:dyDescent="0.3">
      <c r="A97" s="46"/>
      <c r="B97" s="2"/>
      <c r="D97" s="59"/>
      <c r="G97" s="34"/>
      <c r="I97" s="44"/>
      <c r="J97" s="45"/>
      <c r="N97" s="45"/>
      <c r="O97" s="106"/>
    </row>
    <row r="98" spans="1:15" x14ac:dyDescent="0.3">
      <c r="A98" s="46"/>
      <c r="B98" s="3" t="s">
        <v>184</v>
      </c>
      <c r="D98" s="21"/>
      <c r="I98" s="16">
        <f>SUM(I94:I96)</f>
        <v>362803.22362628346</v>
      </c>
      <c r="J98" s="17">
        <f>SUM(J94:J96)</f>
        <v>427746.06903145474</v>
      </c>
      <c r="N98" s="17">
        <f>SUM(N94:N96)</f>
        <v>431740.21399400505</v>
      </c>
      <c r="O98" s="17">
        <f>SUM(O94:O96)</f>
        <v>473887.81578593521</v>
      </c>
    </row>
    <row r="99" spans="1:15" x14ac:dyDescent="0.3">
      <c r="A99" s="46"/>
      <c r="B99" s="3"/>
      <c r="D99" s="21"/>
      <c r="I99" s="16"/>
      <c r="J99" s="17"/>
      <c r="N99" s="45"/>
      <c r="O99" s="106"/>
    </row>
    <row r="100" spans="1:15" x14ac:dyDescent="0.3">
      <c r="A100" s="2">
        <v>9</v>
      </c>
      <c r="B100" s="1" t="s">
        <v>185</v>
      </c>
      <c r="D100" s="59"/>
      <c r="G100" s="34"/>
      <c r="I100" s="44"/>
      <c r="J100" s="45"/>
      <c r="N100" s="45"/>
      <c r="O100" s="106"/>
    </row>
    <row r="101" spans="1:15" ht="14.6" x14ac:dyDescent="0.4">
      <c r="A101" s="46">
        <v>9.1</v>
      </c>
      <c r="B101" s="25" t="s">
        <v>186</v>
      </c>
      <c r="C101" s="25" t="s">
        <v>187</v>
      </c>
      <c r="D101" s="43">
        <v>6</v>
      </c>
      <c r="E101" s="41">
        <v>300</v>
      </c>
      <c r="F101" s="42">
        <v>300</v>
      </c>
      <c r="G101" s="34">
        <f>F101*1.153</f>
        <v>345.90000000000003</v>
      </c>
      <c r="I101" s="44">
        <f>D101*G101</f>
        <v>2075.4</v>
      </c>
      <c r="J101" s="45">
        <f>I101</f>
        <v>2075.4</v>
      </c>
      <c r="K101" s="34" t="s">
        <v>29</v>
      </c>
      <c r="M101" s="34">
        <f t="shared" si="13"/>
        <v>349.2</v>
      </c>
      <c r="N101" s="45">
        <f>D101*M101</f>
        <v>2095.1999999999998</v>
      </c>
      <c r="O101" s="116">
        <f>N101*$O$6</f>
        <v>2681.8559999999998</v>
      </c>
    </row>
    <row r="102" spans="1:15" ht="14.6" x14ac:dyDescent="0.4">
      <c r="A102" s="46">
        <v>9.1999999999999993</v>
      </c>
      <c r="B102" s="25" t="s">
        <v>188</v>
      </c>
      <c r="C102" s="25" t="s">
        <v>182</v>
      </c>
      <c r="D102" s="43">
        <v>1</v>
      </c>
      <c r="E102" s="41">
        <v>750</v>
      </c>
      <c r="F102" s="42">
        <v>750</v>
      </c>
      <c r="G102" s="34">
        <f>F102*1.153</f>
        <v>864.75</v>
      </c>
      <c r="I102" s="44">
        <f>D102*G102</f>
        <v>864.75</v>
      </c>
      <c r="J102" s="45">
        <f>I102</f>
        <v>864.75</v>
      </c>
      <c r="K102" s="36" t="s">
        <v>29</v>
      </c>
      <c r="L102" s="36"/>
      <c r="M102" s="34">
        <f t="shared" si="13"/>
        <v>872.99999999999989</v>
      </c>
      <c r="N102" s="45">
        <f t="shared" ref="N102" si="23">D102*M102</f>
        <v>872.99999999999989</v>
      </c>
      <c r="O102" s="116">
        <f>N102*$O$6</f>
        <v>1117.4399999999998</v>
      </c>
    </row>
    <row r="103" spans="1:15" x14ac:dyDescent="0.3">
      <c r="A103" s="37" t="s">
        <v>189</v>
      </c>
      <c r="B103" s="32" t="s">
        <v>190</v>
      </c>
      <c r="D103" s="43"/>
      <c r="G103" s="34"/>
      <c r="I103" s="44"/>
      <c r="J103" s="34"/>
      <c r="K103" s="36"/>
      <c r="L103" s="36"/>
      <c r="N103" s="34"/>
      <c r="O103" s="106"/>
    </row>
    <row r="104" spans="1:15" x14ac:dyDescent="0.3">
      <c r="A104" s="37" t="s">
        <v>191</v>
      </c>
      <c r="B104" s="32" t="s">
        <v>192</v>
      </c>
      <c r="C104" s="25" t="s">
        <v>133</v>
      </c>
      <c r="D104" s="56">
        <f>SUM(D78,D69, D64)*0.2</f>
        <v>0.59344000000000008</v>
      </c>
      <c r="E104" s="41">
        <v>2000</v>
      </c>
      <c r="F104" s="42">
        <v>2000</v>
      </c>
      <c r="G104" s="34">
        <f>F104*1.153</f>
        <v>2306</v>
      </c>
      <c r="I104" s="44">
        <f>D104*G104</f>
        <v>1368.4726400000002</v>
      </c>
      <c r="J104" s="34"/>
      <c r="L104" s="34" t="s">
        <v>193</v>
      </c>
      <c r="N104" s="34"/>
      <c r="O104" s="106"/>
    </row>
    <row r="105" spans="1:15" x14ac:dyDescent="0.3">
      <c r="A105" s="37" t="s">
        <v>194</v>
      </c>
      <c r="B105" s="32" t="s">
        <v>195</v>
      </c>
      <c r="C105" s="26"/>
      <c r="D105" s="43">
        <f>D104*10000*0.15</f>
        <v>890.16000000000008</v>
      </c>
      <c r="E105" s="41">
        <v>4</v>
      </c>
      <c r="F105" s="42">
        <v>4</v>
      </c>
      <c r="G105" s="34">
        <f>F105*1.153</f>
        <v>4.6120000000000001</v>
      </c>
      <c r="I105" s="44">
        <f>D105*G105</f>
        <v>4105.4179200000008</v>
      </c>
      <c r="J105" s="34"/>
      <c r="L105" s="34" t="s">
        <v>196</v>
      </c>
      <c r="N105" s="34"/>
      <c r="O105" s="106"/>
    </row>
    <row r="106" spans="1:15" x14ac:dyDescent="0.3">
      <c r="A106" s="37" t="s">
        <v>197</v>
      </c>
      <c r="B106" s="32" t="s">
        <v>198</v>
      </c>
      <c r="C106" s="25" t="s">
        <v>133</v>
      </c>
      <c r="D106" s="56">
        <f>D104/2</f>
        <v>0.29672000000000004</v>
      </c>
      <c r="E106" s="41">
        <v>2000</v>
      </c>
      <c r="F106" s="42">
        <v>2000</v>
      </c>
      <c r="G106" s="34">
        <f t="shared" ref="G106:G107" si="24">F106*1.153</f>
        <v>2306</v>
      </c>
      <c r="I106" s="44">
        <f>D106*G106</f>
        <v>684.23632000000009</v>
      </c>
      <c r="J106" s="34"/>
      <c r="L106" s="34" t="s">
        <v>199</v>
      </c>
      <c r="N106" s="34"/>
      <c r="O106" s="106"/>
    </row>
    <row r="107" spans="1:15" x14ac:dyDescent="0.3">
      <c r="A107" s="37" t="s">
        <v>200</v>
      </c>
      <c r="B107" s="32" t="s">
        <v>201</v>
      </c>
      <c r="C107" s="25" t="s">
        <v>182</v>
      </c>
      <c r="D107" s="59">
        <v>8</v>
      </c>
      <c r="E107" s="41">
        <v>500</v>
      </c>
      <c r="F107" s="42">
        <v>500</v>
      </c>
      <c r="G107" s="34">
        <f t="shared" si="24"/>
        <v>576.5</v>
      </c>
      <c r="I107" s="44">
        <f>D107*G107</f>
        <v>4612</v>
      </c>
      <c r="J107" s="34"/>
      <c r="L107" s="34" t="s">
        <v>202</v>
      </c>
      <c r="N107" s="34"/>
      <c r="O107" s="106"/>
    </row>
    <row r="108" spans="1:15" x14ac:dyDescent="0.3">
      <c r="A108" s="37" t="s">
        <v>203</v>
      </c>
      <c r="B108" s="32" t="s">
        <v>204</v>
      </c>
      <c r="D108" s="43">
        <v>250</v>
      </c>
      <c r="G108" s="34">
        <v>3.6</v>
      </c>
      <c r="I108" s="44">
        <f>G108*D108</f>
        <v>900</v>
      </c>
      <c r="J108" s="34"/>
      <c r="L108" s="34" t="s">
        <v>205</v>
      </c>
      <c r="N108" s="34"/>
      <c r="O108" s="106"/>
    </row>
    <row r="109" spans="1:15" x14ac:dyDescent="0.3">
      <c r="A109" s="54" t="s">
        <v>206</v>
      </c>
      <c r="B109" s="22" t="s">
        <v>207</v>
      </c>
      <c r="D109" s="59"/>
      <c r="G109" s="34"/>
      <c r="I109" s="34"/>
      <c r="J109" s="45"/>
      <c r="L109" s="36"/>
      <c r="N109" s="45"/>
      <c r="O109" s="106"/>
    </row>
    <row r="110" spans="1:15" ht="14.6" x14ac:dyDescent="0.4">
      <c r="A110" s="54" t="s">
        <v>208</v>
      </c>
      <c r="B110" s="22" t="s">
        <v>192</v>
      </c>
      <c r="C110" s="25" t="s">
        <v>133</v>
      </c>
      <c r="D110" s="56">
        <f>SUM(D78,D73,D64)*0.2</f>
        <v>0.91406999999999994</v>
      </c>
      <c r="F110" s="42">
        <v>2000</v>
      </c>
      <c r="G110" s="34">
        <f>F110*1.153</f>
        <v>2306</v>
      </c>
      <c r="I110" s="34"/>
      <c r="J110" s="45">
        <f t="shared" ref="J110:J117" si="25">G110*D110</f>
        <v>2107.8454199999996</v>
      </c>
      <c r="K110" s="34" t="s">
        <v>29</v>
      </c>
      <c r="L110" s="34" t="s">
        <v>193</v>
      </c>
      <c r="M110" s="34">
        <f t="shared" si="13"/>
        <v>2328</v>
      </c>
      <c r="N110" s="45">
        <f t="shared" ref="N110:N114" si="26">D110*M110</f>
        <v>2127.95496</v>
      </c>
      <c r="O110" s="116">
        <f t="shared" ref="O110:O117" si="27">N110*$O$6</f>
        <v>2723.7823487999999</v>
      </c>
    </row>
    <row r="111" spans="1:15" ht="14.6" x14ac:dyDescent="0.4">
      <c r="A111" s="54" t="s">
        <v>209</v>
      </c>
      <c r="B111" s="22" t="s">
        <v>195</v>
      </c>
      <c r="D111" s="43">
        <f>D110*10000*0.15</f>
        <v>1371.1049999999998</v>
      </c>
      <c r="F111" s="42">
        <v>4</v>
      </c>
      <c r="G111" s="34">
        <f>F111*1.153</f>
        <v>4.6120000000000001</v>
      </c>
      <c r="I111" s="34"/>
      <c r="J111" s="45">
        <f t="shared" si="25"/>
        <v>6323.5362599999989</v>
      </c>
      <c r="K111" s="34" t="s">
        <v>29</v>
      </c>
      <c r="L111" s="34" t="s">
        <v>196</v>
      </c>
      <c r="M111" s="34">
        <f t="shared" si="13"/>
        <v>4.6559999999999997</v>
      </c>
      <c r="N111" s="45">
        <f t="shared" si="26"/>
        <v>6383.8648799999983</v>
      </c>
      <c r="O111" s="116">
        <f t="shared" si="27"/>
        <v>8171.3470463999984</v>
      </c>
    </row>
    <row r="112" spans="1:15" ht="14.6" x14ac:dyDescent="0.4">
      <c r="A112" s="54" t="s">
        <v>210</v>
      </c>
      <c r="B112" s="22" t="s">
        <v>211</v>
      </c>
      <c r="C112" s="25" t="s">
        <v>133</v>
      </c>
      <c r="D112" s="56">
        <f>D110/2</f>
        <v>0.45703499999999997</v>
      </c>
      <c r="F112" s="42">
        <v>2000</v>
      </c>
      <c r="G112" s="34">
        <f t="shared" ref="G112:G113" si="28">F112*1.153</f>
        <v>2306</v>
      </c>
      <c r="I112" s="34"/>
      <c r="J112" s="45">
        <f t="shared" si="25"/>
        <v>1053.9227099999998</v>
      </c>
      <c r="K112" s="34" t="s">
        <v>29</v>
      </c>
      <c r="L112" s="34" t="s">
        <v>199</v>
      </c>
      <c r="M112" s="34">
        <f t="shared" ref="M112:M119" si="29">F112*$N$2</f>
        <v>2328</v>
      </c>
      <c r="N112" s="45">
        <f t="shared" si="26"/>
        <v>1063.97748</v>
      </c>
      <c r="O112" s="116">
        <f t="shared" si="27"/>
        <v>1361.8911744</v>
      </c>
    </row>
    <row r="113" spans="1:623" ht="14.6" x14ac:dyDescent="0.4">
      <c r="A113" s="54" t="s">
        <v>212</v>
      </c>
      <c r="B113" s="22" t="s">
        <v>201</v>
      </c>
      <c r="C113" s="26" t="s">
        <v>182</v>
      </c>
      <c r="D113" s="43">
        <v>8</v>
      </c>
      <c r="E113" s="41">
        <v>500</v>
      </c>
      <c r="F113" s="42">
        <v>500</v>
      </c>
      <c r="G113" s="34">
        <f t="shared" si="28"/>
        <v>576.5</v>
      </c>
      <c r="I113" s="34"/>
      <c r="J113" s="45">
        <f t="shared" si="25"/>
        <v>4612</v>
      </c>
      <c r="K113" s="34" t="s">
        <v>29</v>
      </c>
      <c r="L113" s="34" t="s">
        <v>202</v>
      </c>
      <c r="M113" s="34">
        <f t="shared" si="29"/>
        <v>582</v>
      </c>
      <c r="N113" s="45">
        <f t="shared" si="26"/>
        <v>4656</v>
      </c>
      <c r="O113" s="116">
        <f t="shared" si="27"/>
        <v>5959.68</v>
      </c>
    </row>
    <row r="114" spans="1:623" ht="14.6" x14ac:dyDescent="0.4">
      <c r="A114" s="54" t="s">
        <v>213</v>
      </c>
      <c r="B114" s="22" t="s">
        <v>204</v>
      </c>
      <c r="C114" s="26" t="s">
        <v>176</v>
      </c>
      <c r="D114" s="43">
        <v>800</v>
      </c>
      <c r="G114" s="34">
        <v>3.6</v>
      </c>
      <c r="I114" s="34"/>
      <c r="J114" s="45">
        <f t="shared" si="25"/>
        <v>2880</v>
      </c>
      <c r="K114" s="34" t="s">
        <v>157</v>
      </c>
      <c r="L114" s="36" t="s">
        <v>214</v>
      </c>
      <c r="M114" s="34">
        <v>3.6</v>
      </c>
      <c r="N114" s="45">
        <f t="shared" si="26"/>
        <v>2880</v>
      </c>
      <c r="O114" s="116">
        <f t="shared" si="27"/>
        <v>3686.4</v>
      </c>
    </row>
    <row r="115" spans="1:623" ht="14.6" x14ac:dyDescent="0.4">
      <c r="A115" s="54">
        <v>9.4</v>
      </c>
      <c r="B115" s="22" t="s">
        <v>215</v>
      </c>
      <c r="C115" s="26" t="s">
        <v>216</v>
      </c>
      <c r="D115" s="59">
        <v>1</v>
      </c>
      <c r="E115" s="34"/>
      <c r="G115" s="34">
        <f>'GeotechRevised for 2017'!$C$15</f>
        <v>13399.3</v>
      </c>
      <c r="I115" s="34"/>
      <c r="J115" s="45">
        <f>G115</f>
        <v>13399.3</v>
      </c>
      <c r="L115" s="36" t="s">
        <v>217</v>
      </c>
      <c r="N115" s="45">
        <f>J115</f>
        <v>13399.3</v>
      </c>
      <c r="O115" s="116">
        <f t="shared" si="27"/>
        <v>17151.103999999999</v>
      </c>
    </row>
    <row r="116" spans="1:623" ht="14.6" x14ac:dyDescent="0.4">
      <c r="A116" s="46">
        <v>9.5</v>
      </c>
      <c r="B116" s="25" t="s">
        <v>218</v>
      </c>
      <c r="C116" s="26" t="s">
        <v>216</v>
      </c>
      <c r="D116" s="59">
        <v>1</v>
      </c>
      <c r="G116" s="34">
        <f>'WaterRevised for 2017'!$D$20</f>
        <v>20031.149999999998</v>
      </c>
      <c r="I116" s="44">
        <f>'WaterRevised for 2017'!$D$20</f>
        <v>20031.149999999998</v>
      </c>
      <c r="J116" s="45">
        <f>G116</f>
        <v>20031.149999999998</v>
      </c>
      <c r="N116" s="45">
        <f>J116</f>
        <v>20031.149999999998</v>
      </c>
      <c r="O116" s="116">
        <f t="shared" si="27"/>
        <v>25639.871999999999</v>
      </c>
    </row>
    <row r="117" spans="1:623" ht="14.6" x14ac:dyDescent="0.4">
      <c r="A117" s="46">
        <v>9.6</v>
      </c>
      <c r="B117" s="25" t="s">
        <v>219</v>
      </c>
      <c r="C117" s="26" t="s">
        <v>35</v>
      </c>
      <c r="D117" s="43">
        <v>778</v>
      </c>
      <c r="F117" s="42">
        <v>4</v>
      </c>
      <c r="G117" s="34">
        <f>F117*1.153</f>
        <v>4.6120000000000001</v>
      </c>
      <c r="I117" s="44">
        <f>G117*D117</f>
        <v>3588.136</v>
      </c>
      <c r="J117" s="45">
        <f t="shared" si="25"/>
        <v>3588.136</v>
      </c>
      <c r="L117" s="36" t="s">
        <v>220</v>
      </c>
      <c r="M117" s="34">
        <f t="shared" si="29"/>
        <v>4.6559999999999997</v>
      </c>
      <c r="N117" s="45">
        <f t="shared" ref="N117" si="30">D117*M117</f>
        <v>3622.3679999999999</v>
      </c>
      <c r="O117" s="116">
        <f t="shared" si="27"/>
        <v>4636.6310400000002</v>
      </c>
    </row>
    <row r="118" spans="1:623" x14ac:dyDescent="0.3">
      <c r="A118" s="46"/>
      <c r="C118" s="26"/>
      <c r="D118" s="59"/>
      <c r="G118" s="34"/>
      <c r="I118" s="44"/>
      <c r="J118" s="45"/>
      <c r="K118" s="36"/>
      <c r="L118" s="36"/>
      <c r="N118" s="45"/>
      <c r="O118" s="106"/>
    </row>
    <row r="119" spans="1:623" ht="14.6" x14ac:dyDescent="0.4">
      <c r="A119" s="46">
        <v>9.6999999999999993</v>
      </c>
      <c r="B119" s="25" t="s">
        <v>221</v>
      </c>
      <c r="C119" s="25" t="s">
        <v>182</v>
      </c>
      <c r="D119" s="43">
        <v>10</v>
      </c>
      <c r="E119" s="41">
        <v>1000</v>
      </c>
      <c r="F119" s="42">
        <v>1000</v>
      </c>
      <c r="G119" s="34">
        <f>F119*1.153</f>
        <v>1153</v>
      </c>
      <c r="I119" s="44">
        <f>D119*G119</f>
        <v>11530</v>
      </c>
      <c r="J119" s="45">
        <f>I119</f>
        <v>11530</v>
      </c>
      <c r="K119" s="34" t="s">
        <v>29</v>
      </c>
      <c r="M119" s="34">
        <f t="shared" si="29"/>
        <v>1164</v>
      </c>
      <c r="N119" s="45">
        <f>M119*D119</f>
        <v>11640</v>
      </c>
      <c r="O119" s="116">
        <f>N119*$O$6</f>
        <v>14899.2</v>
      </c>
    </row>
    <row r="120" spans="1:623" x14ac:dyDescent="0.3">
      <c r="A120" s="46"/>
      <c r="B120" s="3" t="s">
        <v>222</v>
      </c>
      <c r="D120" s="59"/>
      <c r="G120" s="61"/>
      <c r="I120" s="16">
        <f>SUM(I101:I119)</f>
        <v>49759.562879999998</v>
      </c>
      <c r="J120" s="17">
        <f>SUM(J101:J119)</f>
        <v>68466.040389999995</v>
      </c>
      <c r="K120" s="36"/>
      <c r="L120" s="36"/>
      <c r="N120" s="17">
        <f>SUM(N101:N119)</f>
        <v>68772.815319999994</v>
      </c>
      <c r="O120" s="17">
        <f>SUM(O101:O119)</f>
        <v>88029.203609600008</v>
      </c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  <c r="GZ120" s="36"/>
      <c r="HA120" s="36"/>
      <c r="HB120" s="36"/>
      <c r="HC120" s="36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36"/>
      <c r="HP120" s="36"/>
      <c r="HQ120" s="36"/>
      <c r="HR120" s="36"/>
      <c r="HS120" s="36"/>
      <c r="HT120" s="36"/>
      <c r="HU120" s="36"/>
      <c r="HV120" s="36"/>
      <c r="HW120" s="36"/>
      <c r="HX120" s="36"/>
      <c r="HY120" s="36"/>
      <c r="HZ120" s="36"/>
      <c r="IA120" s="36"/>
      <c r="IB120" s="36"/>
      <c r="IC120" s="36"/>
      <c r="ID120" s="36"/>
      <c r="IE120" s="36"/>
      <c r="IF120" s="36"/>
      <c r="IG120" s="36"/>
      <c r="IH120" s="36"/>
      <c r="II120" s="36"/>
      <c r="IJ120" s="36"/>
      <c r="IK120" s="36"/>
      <c r="IL120" s="36"/>
      <c r="IM120" s="36"/>
      <c r="IN120" s="36"/>
      <c r="IO120" s="36"/>
      <c r="IP120" s="36"/>
      <c r="IQ120" s="36"/>
      <c r="IR120" s="36"/>
      <c r="IS120" s="36"/>
      <c r="IT120" s="36"/>
      <c r="IU120" s="36"/>
      <c r="IV120" s="36"/>
      <c r="IW120" s="36"/>
      <c r="IX120" s="36"/>
      <c r="IY120" s="36"/>
      <c r="IZ120" s="36"/>
      <c r="JA120" s="36"/>
      <c r="JB120" s="36"/>
      <c r="JC120" s="36"/>
      <c r="JD120" s="36"/>
      <c r="JE120" s="36"/>
      <c r="JF120" s="36"/>
      <c r="JG120" s="36"/>
      <c r="JH120" s="36"/>
      <c r="JI120" s="36"/>
      <c r="JJ120" s="36"/>
      <c r="JK120" s="36"/>
      <c r="JL120" s="36"/>
      <c r="JM120" s="36"/>
      <c r="JN120" s="36"/>
      <c r="JO120" s="36"/>
      <c r="JP120" s="36"/>
      <c r="JQ120" s="36"/>
      <c r="JR120" s="36"/>
      <c r="JS120" s="36"/>
      <c r="JT120" s="36"/>
      <c r="JU120" s="36"/>
      <c r="JV120" s="36"/>
      <c r="JW120" s="36"/>
      <c r="JX120" s="36"/>
      <c r="JY120" s="36"/>
      <c r="JZ120" s="36"/>
      <c r="KA120" s="36"/>
      <c r="KB120" s="36"/>
      <c r="KC120" s="36"/>
      <c r="KD120" s="36"/>
      <c r="KE120" s="36"/>
      <c r="KF120" s="36"/>
      <c r="KG120" s="36"/>
      <c r="KH120" s="36"/>
      <c r="KI120" s="36"/>
      <c r="KJ120" s="36"/>
      <c r="KK120" s="36"/>
      <c r="KL120" s="36"/>
      <c r="KM120" s="36"/>
      <c r="KN120" s="36"/>
      <c r="KO120" s="36"/>
      <c r="KP120" s="36"/>
      <c r="KQ120" s="36"/>
      <c r="KR120" s="36"/>
      <c r="KS120" s="36"/>
      <c r="KT120" s="36"/>
      <c r="KU120" s="36"/>
      <c r="KV120" s="36"/>
      <c r="KW120" s="36"/>
      <c r="KX120" s="36"/>
      <c r="KY120" s="36"/>
      <c r="KZ120" s="36"/>
      <c r="LA120" s="36"/>
      <c r="LB120" s="36"/>
      <c r="LC120" s="36"/>
      <c r="LD120" s="36"/>
      <c r="LE120" s="36"/>
      <c r="LF120" s="36"/>
      <c r="LG120" s="36"/>
      <c r="LH120" s="36"/>
      <c r="LI120" s="36"/>
      <c r="LJ120" s="36"/>
      <c r="LK120" s="36"/>
      <c r="LL120" s="36"/>
      <c r="LM120" s="36"/>
      <c r="LN120" s="36"/>
      <c r="LO120" s="36"/>
      <c r="LP120" s="36"/>
      <c r="LQ120" s="36"/>
      <c r="LR120" s="36"/>
      <c r="LS120" s="36"/>
      <c r="LT120" s="36"/>
      <c r="LU120" s="36"/>
      <c r="LV120" s="36"/>
      <c r="LW120" s="36"/>
      <c r="LX120" s="36"/>
      <c r="LY120" s="36"/>
      <c r="LZ120" s="36"/>
      <c r="MA120" s="36"/>
      <c r="MB120" s="36"/>
      <c r="MC120" s="36"/>
      <c r="MD120" s="36"/>
      <c r="ME120" s="36"/>
      <c r="MF120" s="36"/>
      <c r="MG120" s="36"/>
      <c r="MH120" s="36"/>
      <c r="MI120" s="36"/>
      <c r="MJ120" s="36"/>
      <c r="MK120" s="36"/>
      <c r="ML120" s="36"/>
      <c r="MM120" s="36"/>
      <c r="MN120" s="36"/>
      <c r="MO120" s="36"/>
      <c r="MP120" s="36"/>
      <c r="MQ120" s="36"/>
      <c r="MR120" s="36"/>
      <c r="MS120" s="36"/>
      <c r="MT120" s="36"/>
      <c r="MU120" s="36"/>
      <c r="MV120" s="36"/>
      <c r="MW120" s="36"/>
      <c r="MX120" s="36"/>
      <c r="MY120" s="36"/>
      <c r="MZ120" s="36"/>
      <c r="NA120" s="36"/>
      <c r="NB120" s="36"/>
      <c r="NC120" s="36"/>
      <c r="ND120" s="36"/>
      <c r="NE120" s="36"/>
      <c r="NF120" s="36"/>
      <c r="NG120" s="36"/>
      <c r="NH120" s="36"/>
      <c r="NI120" s="36"/>
      <c r="NJ120" s="36"/>
      <c r="NK120" s="36"/>
      <c r="NL120" s="36"/>
      <c r="NM120" s="36"/>
      <c r="NN120" s="36"/>
      <c r="NO120" s="36"/>
      <c r="NP120" s="36"/>
      <c r="NQ120" s="36"/>
      <c r="NR120" s="36"/>
      <c r="NS120" s="36"/>
      <c r="NT120" s="36"/>
      <c r="NU120" s="36"/>
      <c r="NV120" s="36"/>
      <c r="NW120" s="36"/>
      <c r="NX120" s="36"/>
      <c r="NY120" s="36"/>
      <c r="NZ120" s="36"/>
      <c r="OA120" s="36"/>
      <c r="OB120" s="36"/>
      <c r="OC120" s="36"/>
      <c r="OD120" s="36"/>
      <c r="OE120" s="36"/>
      <c r="OF120" s="36"/>
      <c r="OG120" s="36"/>
      <c r="OH120" s="36"/>
      <c r="OI120" s="36"/>
      <c r="OJ120" s="36"/>
      <c r="OK120" s="36"/>
      <c r="OL120" s="36"/>
      <c r="OM120" s="36"/>
      <c r="ON120" s="36"/>
      <c r="OO120" s="36"/>
      <c r="OP120" s="36"/>
      <c r="OQ120" s="36"/>
      <c r="OR120" s="36"/>
      <c r="OS120" s="36"/>
      <c r="OT120" s="36"/>
      <c r="OU120" s="36"/>
      <c r="OV120" s="36"/>
      <c r="OW120" s="36"/>
      <c r="OX120" s="36"/>
      <c r="OY120" s="36"/>
      <c r="OZ120" s="36"/>
      <c r="PA120" s="36"/>
      <c r="PB120" s="36"/>
      <c r="PC120" s="36"/>
      <c r="PD120" s="36"/>
      <c r="PE120" s="36"/>
      <c r="PF120" s="36"/>
      <c r="PG120" s="36"/>
      <c r="PH120" s="36"/>
      <c r="PI120" s="36"/>
      <c r="PJ120" s="36"/>
      <c r="PK120" s="36"/>
      <c r="PL120" s="36"/>
      <c r="PM120" s="36"/>
      <c r="PN120" s="36"/>
      <c r="PO120" s="36"/>
      <c r="PP120" s="36"/>
      <c r="PQ120" s="36"/>
      <c r="PR120" s="36"/>
      <c r="PS120" s="36"/>
      <c r="PT120" s="36"/>
      <c r="PU120" s="36"/>
      <c r="PV120" s="36"/>
      <c r="PW120" s="36"/>
      <c r="PX120" s="36"/>
      <c r="PY120" s="36"/>
      <c r="PZ120" s="36"/>
      <c r="QA120" s="36"/>
      <c r="QB120" s="36"/>
      <c r="QC120" s="36"/>
      <c r="QD120" s="36"/>
      <c r="QE120" s="36"/>
      <c r="QF120" s="36"/>
      <c r="QG120" s="36"/>
      <c r="QH120" s="36"/>
      <c r="QI120" s="36"/>
      <c r="QJ120" s="36"/>
      <c r="QK120" s="36"/>
      <c r="QL120" s="36"/>
      <c r="QM120" s="36"/>
      <c r="QN120" s="36"/>
      <c r="QO120" s="36"/>
      <c r="QP120" s="36"/>
      <c r="QQ120" s="36"/>
      <c r="QR120" s="36"/>
      <c r="QS120" s="36"/>
      <c r="QT120" s="36"/>
      <c r="QU120" s="36"/>
      <c r="QV120" s="36"/>
      <c r="QW120" s="36"/>
      <c r="QX120" s="36"/>
      <c r="QY120" s="36"/>
      <c r="QZ120" s="36"/>
      <c r="RA120" s="36"/>
      <c r="RB120" s="36"/>
      <c r="RC120" s="36"/>
      <c r="RD120" s="36"/>
      <c r="RE120" s="36"/>
      <c r="RF120" s="36"/>
      <c r="RG120" s="36"/>
      <c r="RH120" s="36"/>
      <c r="RI120" s="36"/>
      <c r="RJ120" s="36"/>
      <c r="RK120" s="36"/>
      <c r="RL120" s="36"/>
      <c r="RM120" s="36"/>
      <c r="RN120" s="36"/>
      <c r="RO120" s="36"/>
      <c r="RP120" s="36"/>
      <c r="RQ120" s="36"/>
      <c r="RR120" s="36"/>
      <c r="RS120" s="36"/>
      <c r="RT120" s="36"/>
      <c r="RU120" s="36"/>
      <c r="RV120" s="36"/>
      <c r="RW120" s="36"/>
      <c r="RX120" s="36"/>
      <c r="RY120" s="36"/>
      <c r="RZ120" s="36"/>
      <c r="SA120" s="36"/>
      <c r="SB120" s="36"/>
      <c r="SC120" s="36"/>
      <c r="SD120" s="36"/>
      <c r="SE120" s="36"/>
      <c r="SF120" s="36"/>
      <c r="SG120" s="36"/>
      <c r="SH120" s="36"/>
      <c r="SI120" s="36"/>
      <c r="SJ120" s="36"/>
      <c r="SK120" s="36"/>
      <c r="SL120" s="36"/>
      <c r="SM120" s="36"/>
      <c r="SN120" s="36"/>
      <c r="SO120" s="36"/>
      <c r="SP120" s="36"/>
      <c r="SQ120" s="36"/>
      <c r="SR120" s="36"/>
      <c r="SS120" s="36"/>
      <c r="ST120" s="36"/>
      <c r="SU120" s="36"/>
      <c r="SV120" s="36"/>
      <c r="SW120" s="36"/>
      <c r="SX120" s="36"/>
      <c r="SY120" s="36"/>
      <c r="SZ120" s="36"/>
      <c r="TA120" s="36"/>
      <c r="TB120" s="36"/>
      <c r="TC120" s="36"/>
      <c r="TD120" s="36"/>
      <c r="TE120" s="36"/>
      <c r="TF120" s="36"/>
      <c r="TG120" s="36"/>
      <c r="TH120" s="36"/>
      <c r="TI120" s="36"/>
      <c r="TJ120" s="36"/>
      <c r="TK120" s="36"/>
      <c r="TL120" s="36"/>
      <c r="TM120" s="36"/>
      <c r="TN120" s="36"/>
      <c r="TO120" s="36"/>
      <c r="TP120" s="36"/>
      <c r="TQ120" s="36"/>
      <c r="TR120" s="36"/>
      <c r="TS120" s="36"/>
      <c r="TT120" s="36"/>
      <c r="TU120" s="36"/>
      <c r="TV120" s="36"/>
      <c r="TW120" s="36"/>
      <c r="TX120" s="36"/>
      <c r="TY120" s="36"/>
      <c r="TZ120" s="36"/>
      <c r="UA120" s="36"/>
      <c r="UB120" s="36"/>
      <c r="UC120" s="36"/>
      <c r="UD120" s="36"/>
      <c r="UE120" s="36"/>
      <c r="UF120" s="36"/>
      <c r="UG120" s="36"/>
      <c r="UH120" s="36"/>
      <c r="UI120" s="36"/>
      <c r="UJ120" s="36"/>
      <c r="UK120" s="36"/>
      <c r="UL120" s="36"/>
      <c r="UM120" s="36"/>
      <c r="UN120" s="36"/>
      <c r="UO120" s="36"/>
      <c r="UP120" s="36"/>
      <c r="UQ120" s="36"/>
      <c r="UR120" s="36"/>
      <c r="US120" s="36"/>
      <c r="UT120" s="36"/>
      <c r="UU120" s="36"/>
      <c r="UV120" s="36"/>
      <c r="UW120" s="36"/>
      <c r="UX120" s="36"/>
      <c r="UY120" s="36"/>
      <c r="UZ120" s="36"/>
      <c r="VA120" s="36"/>
      <c r="VB120" s="36"/>
      <c r="VC120" s="36"/>
      <c r="VD120" s="36"/>
      <c r="VE120" s="36"/>
      <c r="VF120" s="36"/>
      <c r="VG120" s="36"/>
      <c r="VH120" s="36"/>
      <c r="VI120" s="36"/>
      <c r="VJ120" s="36"/>
      <c r="VK120" s="36"/>
      <c r="VL120" s="36"/>
      <c r="VM120" s="36"/>
      <c r="VN120" s="36"/>
      <c r="VO120" s="36"/>
      <c r="VP120" s="36"/>
      <c r="VQ120" s="36"/>
      <c r="VR120" s="36"/>
      <c r="VS120" s="36"/>
      <c r="VT120" s="36"/>
      <c r="VU120" s="36"/>
      <c r="VV120" s="36"/>
      <c r="VW120" s="36"/>
      <c r="VX120" s="36"/>
      <c r="VY120" s="36"/>
      <c r="VZ120" s="36"/>
      <c r="WA120" s="36"/>
      <c r="WB120" s="36"/>
      <c r="WC120" s="36"/>
      <c r="WD120" s="36"/>
      <c r="WE120" s="36"/>
      <c r="WF120" s="36"/>
      <c r="WG120" s="36"/>
      <c r="WH120" s="36"/>
      <c r="WI120" s="36"/>
      <c r="WJ120" s="36"/>
      <c r="WK120" s="36"/>
      <c r="WL120" s="36"/>
      <c r="WM120" s="36"/>
      <c r="WN120" s="36"/>
      <c r="WO120" s="36"/>
      <c r="WP120" s="36"/>
      <c r="WQ120" s="36"/>
      <c r="WR120" s="36"/>
      <c r="WS120" s="36"/>
      <c r="WT120" s="36"/>
      <c r="WU120" s="36"/>
      <c r="WV120" s="36"/>
      <c r="WW120" s="36"/>
      <c r="WX120" s="36"/>
      <c r="WY120" s="36"/>
    </row>
    <row r="121" spans="1:623" x14ac:dyDescent="0.3">
      <c r="A121" s="2">
        <v>10</v>
      </c>
      <c r="B121" s="2" t="s">
        <v>223</v>
      </c>
      <c r="D121" s="59"/>
      <c r="G121" s="61"/>
      <c r="I121" s="16"/>
      <c r="J121" s="17"/>
      <c r="K121" s="36"/>
      <c r="L121" s="36"/>
      <c r="N121" s="17"/>
      <c r="O121" s="10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  <c r="GK121" s="36"/>
      <c r="GL121" s="36"/>
      <c r="GM121" s="36"/>
      <c r="GN121" s="36"/>
      <c r="GO121" s="36"/>
      <c r="GP121" s="36"/>
      <c r="GQ121" s="36"/>
      <c r="GR121" s="36"/>
      <c r="GS121" s="36"/>
      <c r="GT121" s="36"/>
      <c r="GU121" s="36"/>
      <c r="GV121" s="36"/>
      <c r="GW121" s="36"/>
      <c r="GX121" s="36"/>
      <c r="GY121" s="36"/>
      <c r="GZ121" s="36"/>
      <c r="HA121" s="36"/>
      <c r="HB121" s="36"/>
      <c r="HC121" s="36"/>
      <c r="HD121" s="36"/>
      <c r="HE121" s="36"/>
      <c r="HF121" s="36"/>
      <c r="HG121" s="36"/>
      <c r="HH121" s="36"/>
      <c r="HI121" s="36"/>
      <c r="HJ121" s="36"/>
      <c r="HK121" s="36"/>
      <c r="HL121" s="36"/>
      <c r="HM121" s="36"/>
      <c r="HN121" s="36"/>
      <c r="HO121" s="36"/>
      <c r="HP121" s="36"/>
      <c r="HQ121" s="36"/>
      <c r="HR121" s="36"/>
      <c r="HS121" s="36"/>
      <c r="HT121" s="36"/>
      <c r="HU121" s="36"/>
      <c r="HV121" s="36"/>
      <c r="HW121" s="36"/>
      <c r="HX121" s="36"/>
      <c r="HY121" s="36"/>
      <c r="HZ121" s="36"/>
      <c r="IA121" s="36"/>
      <c r="IB121" s="36"/>
      <c r="IC121" s="36"/>
      <c r="ID121" s="36"/>
      <c r="IE121" s="36"/>
      <c r="IF121" s="36"/>
      <c r="IG121" s="36"/>
      <c r="IH121" s="36"/>
      <c r="II121" s="36"/>
      <c r="IJ121" s="36"/>
      <c r="IK121" s="36"/>
      <c r="IL121" s="36"/>
      <c r="IM121" s="36"/>
      <c r="IN121" s="36"/>
      <c r="IO121" s="36"/>
      <c r="IP121" s="36"/>
      <c r="IQ121" s="36"/>
      <c r="IR121" s="36"/>
      <c r="IS121" s="36"/>
      <c r="IT121" s="36"/>
      <c r="IU121" s="36"/>
      <c r="IV121" s="36"/>
      <c r="IW121" s="36"/>
      <c r="IX121" s="36"/>
      <c r="IY121" s="36"/>
      <c r="IZ121" s="36"/>
      <c r="JA121" s="36"/>
      <c r="JB121" s="36"/>
      <c r="JC121" s="36"/>
      <c r="JD121" s="36"/>
      <c r="JE121" s="36"/>
      <c r="JF121" s="36"/>
      <c r="JG121" s="36"/>
      <c r="JH121" s="36"/>
      <c r="JI121" s="36"/>
      <c r="JJ121" s="36"/>
      <c r="JK121" s="36"/>
      <c r="JL121" s="36"/>
      <c r="JM121" s="36"/>
      <c r="JN121" s="36"/>
      <c r="JO121" s="36"/>
      <c r="JP121" s="36"/>
      <c r="JQ121" s="36"/>
      <c r="JR121" s="36"/>
      <c r="JS121" s="36"/>
      <c r="JT121" s="36"/>
      <c r="JU121" s="36"/>
      <c r="JV121" s="36"/>
      <c r="JW121" s="36"/>
      <c r="JX121" s="36"/>
      <c r="JY121" s="36"/>
      <c r="JZ121" s="36"/>
      <c r="KA121" s="36"/>
      <c r="KB121" s="36"/>
      <c r="KC121" s="36"/>
      <c r="KD121" s="36"/>
      <c r="KE121" s="36"/>
      <c r="KF121" s="36"/>
      <c r="KG121" s="36"/>
      <c r="KH121" s="36"/>
      <c r="KI121" s="36"/>
      <c r="KJ121" s="36"/>
      <c r="KK121" s="36"/>
      <c r="KL121" s="36"/>
      <c r="KM121" s="36"/>
      <c r="KN121" s="36"/>
      <c r="KO121" s="36"/>
      <c r="KP121" s="36"/>
      <c r="KQ121" s="36"/>
      <c r="KR121" s="36"/>
      <c r="KS121" s="36"/>
      <c r="KT121" s="36"/>
      <c r="KU121" s="36"/>
      <c r="KV121" s="36"/>
      <c r="KW121" s="36"/>
      <c r="KX121" s="36"/>
      <c r="KY121" s="36"/>
      <c r="KZ121" s="36"/>
      <c r="LA121" s="36"/>
      <c r="LB121" s="36"/>
      <c r="LC121" s="36"/>
      <c r="LD121" s="36"/>
      <c r="LE121" s="36"/>
      <c r="LF121" s="36"/>
      <c r="LG121" s="36"/>
      <c r="LH121" s="36"/>
      <c r="LI121" s="36"/>
      <c r="LJ121" s="36"/>
      <c r="LK121" s="36"/>
      <c r="LL121" s="36"/>
      <c r="LM121" s="36"/>
      <c r="LN121" s="36"/>
      <c r="LO121" s="36"/>
      <c r="LP121" s="36"/>
      <c r="LQ121" s="36"/>
      <c r="LR121" s="36"/>
      <c r="LS121" s="36"/>
      <c r="LT121" s="36"/>
      <c r="LU121" s="36"/>
      <c r="LV121" s="36"/>
      <c r="LW121" s="36"/>
      <c r="LX121" s="36"/>
      <c r="LY121" s="36"/>
      <c r="LZ121" s="36"/>
      <c r="MA121" s="36"/>
      <c r="MB121" s="36"/>
      <c r="MC121" s="36"/>
      <c r="MD121" s="36"/>
      <c r="ME121" s="36"/>
      <c r="MF121" s="36"/>
      <c r="MG121" s="36"/>
      <c r="MH121" s="36"/>
      <c r="MI121" s="36"/>
      <c r="MJ121" s="36"/>
      <c r="MK121" s="36"/>
      <c r="ML121" s="36"/>
      <c r="MM121" s="36"/>
      <c r="MN121" s="36"/>
      <c r="MO121" s="36"/>
      <c r="MP121" s="36"/>
      <c r="MQ121" s="36"/>
      <c r="MR121" s="36"/>
      <c r="MS121" s="36"/>
      <c r="MT121" s="36"/>
      <c r="MU121" s="36"/>
      <c r="MV121" s="36"/>
      <c r="MW121" s="36"/>
      <c r="MX121" s="36"/>
      <c r="MY121" s="36"/>
      <c r="MZ121" s="36"/>
      <c r="NA121" s="36"/>
      <c r="NB121" s="36"/>
      <c r="NC121" s="36"/>
      <c r="ND121" s="36"/>
      <c r="NE121" s="36"/>
      <c r="NF121" s="36"/>
      <c r="NG121" s="36"/>
      <c r="NH121" s="36"/>
      <c r="NI121" s="36"/>
      <c r="NJ121" s="36"/>
      <c r="NK121" s="36"/>
      <c r="NL121" s="36"/>
      <c r="NM121" s="36"/>
      <c r="NN121" s="36"/>
      <c r="NO121" s="36"/>
      <c r="NP121" s="36"/>
      <c r="NQ121" s="36"/>
      <c r="NR121" s="36"/>
      <c r="NS121" s="36"/>
      <c r="NT121" s="36"/>
      <c r="NU121" s="36"/>
      <c r="NV121" s="36"/>
      <c r="NW121" s="36"/>
      <c r="NX121" s="36"/>
      <c r="NY121" s="36"/>
      <c r="NZ121" s="36"/>
      <c r="OA121" s="36"/>
      <c r="OB121" s="36"/>
      <c r="OC121" s="36"/>
      <c r="OD121" s="36"/>
      <c r="OE121" s="36"/>
      <c r="OF121" s="36"/>
      <c r="OG121" s="36"/>
      <c r="OH121" s="36"/>
      <c r="OI121" s="36"/>
      <c r="OJ121" s="36"/>
      <c r="OK121" s="36"/>
      <c r="OL121" s="36"/>
      <c r="OM121" s="36"/>
      <c r="ON121" s="36"/>
      <c r="OO121" s="36"/>
      <c r="OP121" s="36"/>
      <c r="OQ121" s="36"/>
      <c r="OR121" s="36"/>
      <c r="OS121" s="36"/>
      <c r="OT121" s="36"/>
      <c r="OU121" s="36"/>
      <c r="OV121" s="36"/>
      <c r="OW121" s="36"/>
      <c r="OX121" s="36"/>
      <c r="OY121" s="36"/>
      <c r="OZ121" s="36"/>
      <c r="PA121" s="36"/>
      <c r="PB121" s="36"/>
      <c r="PC121" s="36"/>
      <c r="PD121" s="36"/>
      <c r="PE121" s="36"/>
      <c r="PF121" s="36"/>
      <c r="PG121" s="36"/>
      <c r="PH121" s="36"/>
      <c r="PI121" s="36"/>
      <c r="PJ121" s="36"/>
      <c r="PK121" s="36"/>
      <c r="PL121" s="36"/>
      <c r="PM121" s="36"/>
      <c r="PN121" s="36"/>
      <c r="PO121" s="36"/>
      <c r="PP121" s="36"/>
      <c r="PQ121" s="36"/>
      <c r="PR121" s="36"/>
      <c r="PS121" s="36"/>
      <c r="PT121" s="36"/>
      <c r="PU121" s="36"/>
      <c r="PV121" s="36"/>
      <c r="PW121" s="36"/>
      <c r="PX121" s="36"/>
      <c r="PY121" s="36"/>
      <c r="PZ121" s="36"/>
      <c r="QA121" s="36"/>
      <c r="QB121" s="36"/>
      <c r="QC121" s="36"/>
      <c r="QD121" s="36"/>
      <c r="QE121" s="36"/>
      <c r="QF121" s="36"/>
      <c r="QG121" s="36"/>
      <c r="QH121" s="36"/>
      <c r="QI121" s="36"/>
      <c r="QJ121" s="36"/>
      <c r="QK121" s="36"/>
      <c r="QL121" s="36"/>
      <c r="QM121" s="36"/>
      <c r="QN121" s="36"/>
      <c r="QO121" s="36"/>
      <c r="QP121" s="36"/>
      <c r="QQ121" s="36"/>
      <c r="QR121" s="36"/>
      <c r="QS121" s="36"/>
      <c r="QT121" s="36"/>
      <c r="QU121" s="36"/>
      <c r="QV121" s="36"/>
      <c r="QW121" s="36"/>
      <c r="QX121" s="36"/>
      <c r="QY121" s="36"/>
      <c r="QZ121" s="36"/>
      <c r="RA121" s="36"/>
      <c r="RB121" s="36"/>
      <c r="RC121" s="36"/>
      <c r="RD121" s="36"/>
      <c r="RE121" s="36"/>
      <c r="RF121" s="36"/>
      <c r="RG121" s="36"/>
      <c r="RH121" s="36"/>
      <c r="RI121" s="36"/>
      <c r="RJ121" s="36"/>
      <c r="RK121" s="36"/>
      <c r="RL121" s="36"/>
      <c r="RM121" s="36"/>
      <c r="RN121" s="36"/>
      <c r="RO121" s="36"/>
      <c r="RP121" s="36"/>
      <c r="RQ121" s="36"/>
      <c r="RR121" s="36"/>
      <c r="RS121" s="36"/>
      <c r="RT121" s="36"/>
      <c r="RU121" s="36"/>
      <c r="RV121" s="36"/>
      <c r="RW121" s="36"/>
      <c r="RX121" s="36"/>
      <c r="RY121" s="36"/>
      <c r="RZ121" s="36"/>
      <c r="SA121" s="36"/>
      <c r="SB121" s="36"/>
      <c r="SC121" s="36"/>
      <c r="SD121" s="36"/>
      <c r="SE121" s="36"/>
      <c r="SF121" s="36"/>
      <c r="SG121" s="36"/>
      <c r="SH121" s="36"/>
      <c r="SI121" s="36"/>
      <c r="SJ121" s="36"/>
      <c r="SK121" s="36"/>
      <c r="SL121" s="36"/>
      <c r="SM121" s="36"/>
      <c r="SN121" s="36"/>
      <c r="SO121" s="36"/>
      <c r="SP121" s="36"/>
      <c r="SQ121" s="36"/>
      <c r="SR121" s="36"/>
      <c r="SS121" s="36"/>
      <c r="ST121" s="36"/>
      <c r="SU121" s="36"/>
      <c r="SV121" s="36"/>
      <c r="SW121" s="36"/>
      <c r="SX121" s="36"/>
      <c r="SY121" s="36"/>
      <c r="SZ121" s="36"/>
      <c r="TA121" s="36"/>
      <c r="TB121" s="36"/>
      <c r="TC121" s="36"/>
      <c r="TD121" s="36"/>
      <c r="TE121" s="36"/>
      <c r="TF121" s="36"/>
      <c r="TG121" s="36"/>
      <c r="TH121" s="36"/>
      <c r="TI121" s="36"/>
      <c r="TJ121" s="36"/>
      <c r="TK121" s="36"/>
      <c r="TL121" s="36"/>
      <c r="TM121" s="36"/>
      <c r="TN121" s="36"/>
      <c r="TO121" s="36"/>
      <c r="TP121" s="36"/>
      <c r="TQ121" s="36"/>
      <c r="TR121" s="36"/>
      <c r="TS121" s="36"/>
      <c r="TT121" s="36"/>
      <c r="TU121" s="36"/>
      <c r="TV121" s="36"/>
      <c r="TW121" s="36"/>
      <c r="TX121" s="36"/>
      <c r="TY121" s="36"/>
      <c r="TZ121" s="36"/>
      <c r="UA121" s="36"/>
      <c r="UB121" s="36"/>
      <c r="UC121" s="36"/>
      <c r="UD121" s="36"/>
      <c r="UE121" s="36"/>
      <c r="UF121" s="36"/>
      <c r="UG121" s="36"/>
      <c r="UH121" s="36"/>
      <c r="UI121" s="36"/>
      <c r="UJ121" s="36"/>
      <c r="UK121" s="36"/>
      <c r="UL121" s="36"/>
      <c r="UM121" s="36"/>
      <c r="UN121" s="36"/>
      <c r="UO121" s="36"/>
      <c r="UP121" s="36"/>
      <c r="UQ121" s="36"/>
      <c r="UR121" s="36"/>
      <c r="US121" s="36"/>
      <c r="UT121" s="36"/>
      <c r="UU121" s="36"/>
      <c r="UV121" s="36"/>
      <c r="UW121" s="36"/>
      <c r="UX121" s="36"/>
      <c r="UY121" s="36"/>
      <c r="UZ121" s="36"/>
      <c r="VA121" s="36"/>
      <c r="VB121" s="36"/>
      <c r="VC121" s="36"/>
      <c r="VD121" s="36"/>
      <c r="VE121" s="36"/>
      <c r="VF121" s="36"/>
      <c r="VG121" s="36"/>
      <c r="VH121" s="36"/>
      <c r="VI121" s="36"/>
      <c r="VJ121" s="36"/>
      <c r="VK121" s="36"/>
      <c r="VL121" s="36"/>
      <c r="VM121" s="36"/>
      <c r="VN121" s="36"/>
      <c r="VO121" s="36"/>
      <c r="VP121" s="36"/>
      <c r="VQ121" s="36"/>
      <c r="VR121" s="36"/>
      <c r="VS121" s="36"/>
      <c r="VT121" s="36"/>
      <c r="VU121" s="36"/>
      <c r="VV121" s="36"/>
      <c r="VW121" s="36"/>
      <c r="VX121" s="36"/>
      <c r="VY121" s="36"/>
      <c r="VZ121" s="36"/>
      <c r="WA121" s="36"/>
      <c r="WB121" s="36"/>
      <c r="WC121" s="36"/>
      <c r="WD121" s="36"/>
      <c r="WE121" s="36"/>
      <c r="WF121" s="36"/>
      <c r="WG121" s="36"/>
      <c r="WH121" s="36"/>
      <c r="WI121" s="36"/>
      <c r="WJ121" s="36"/>
      <c r="WK121" s="36"/>
      <c r="WL121" s="36"/>
      <c r="WM121" s="36"/>
      <c r="WN121" s="36"/>
      <c r="WO121" s="36"/>
      <c r="WP121" s="36"/>
      <c r="WQ121" s="36"/>
      <c r="WR121" s="36"/>
      <c r="WS121" s="36"/>
      <c r="WT121" s="36"/>
      <c r="WU121" s="36"/>
      <c r="WV121" s="36"/>
      <c r="WW121" s="36"/>
      <c r="WX121" s="36"/>
      <c r="WY121" s="36"/>
    </row>
    <row r="122" spans="1:623" x14ac:dyDescent="0.3">
      <c r="A122" s="46"/>
      <c r="B122" s="46" t="s">
        <v>224</v>
      </c>
      <c r="D122" s="59"/>
      <c r="G122" s="61"/>
      <c r="I122" s="44"/>
      <c r="J122" s="45"/>
      <c r="K122" s="36"/>
      <c r="L122" s="36" t="s">
        <v>225</v>
      </c>
      <c r="N122" s="45"/>
      <c r="O122" s="10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  <c r="FH122" s="36"/>
      <c r="FI122" s="36"/>
      <c r="FJ122" s="36"/>
      <c r="FK122" s="36"/>
      <c r="FL122" s="36"/>
      <c r="FM122" s="36"/>
      <c r="FN122" s="36"/>
      <c r="FO122" s="36"/>
      <c r="FP122" s="36"/>
      <c r="FQ122" s="36"/>
      <c r="FR122" s="36"/>
      <c r="FS122" s="36"/>
      <c r="FT122" s="36"/>
      <c r="FU122" s="36"/>
      <c r="FV122" s="36"/>
      <c r="FW122" s="36"/>
      <c r="FX122" s="36"/>
      <c r="FY122" s="36"/>
      <c r="FZ122" s="36"/>
      <c r="GA122" s="36"/>
      <c r="GB122" s="36"/>
      <c r="GC122" s="36"/>
      <c r="GD122" s="36"/>
      <c r="GE122" s="36"/>
      <c r="GF122" s="36"/>
      <c r="GG122" s="36"/>
      <c r="GH122" s="36"/>
      <c r="GI122" s="36"/>
      <c r="GJ122" s="36"/>
      <c r="GK122" s="36"/>
      <c r="GL122" s="36"/>
      <c r="GM122" s="36"/>
      <c r="GN122" s="36"/>
      <c r="GO122" s="36"/>
      <c r="GP122" s="36"/>
      <c r="GQ122" s="36"/>
      <c r="GR122" s="36"/>
      <c r="GS122" s="36"/>
      <c r="GT122" s="36"/>
      <c r="GU122" s="36"/>
      <c r="GV122" s="36"/>
      <c r="GW122" s="36"/>
      <c r="GX122" s="36"/>
      <c r="GY122" s="36"/>
      <c r="GZ122" s="36"/>
      <c r="HA122" s="36"/>
      <c r="HB122" s="36"/>
      <c r="HC122" s="36"/>
      <c r="HD122" s="36"/>
      <c r="HE122" s="36"/>
      <c r="HF122" s="36"/>
      <c r="HG122" s="36"/>
      <c r="HH122" s="36"/>
      <c r="HI122" s="36"/>
      <c r="HJ122" s="36"/>
      <c r="HK122" s="36"/>
      <c r="HL122" s="36"/>
      <c r="HM122" s="36"/>
      <c r="HN122" s="36"/>
      <c r="HO122" s="36"/>
      <c r="HP122" s="36"/>
      <c r="HQ122" s="36"/>
      <c r="HR122" s="36"/>
      <c r="HS122" s="36"/>
      <c r="HT122" s="36"/>
      <c r="HU122" s="36"/>
      <c r="HV122" s="36"/>
      <c r="HW122" s="36"/>
      <c r="HX122" s="36"/>
      <c r="HY122" s="36"/>
      <c r="HZ122" s="36"/>
      <c r="IA122" s="36"/>
      <c r="IB122" s="36"/>
      <c r="IC122" s="36"/>
      <c r="ID122" s="36"/>
      <c r="IE122" s="36"/>
      <c r="IF122" s="36"/>
      <c r="IG122" s="36"/>
      <c r="IH122" s="36"/>
      <c r="II122" s="36"/>
      <c r="IJ122" s="36"/>
      <c r="IK122" s="36"/>
      <c r="IL122" s="36"/>
      <c r="IM122" s="36"/>
      <c r="IN122" s="36"/>
      <c r="IO122" s="36"/>
      <c r="IP122" s="36"/>
      <c r="IQ122" s="36"/>
      <c r="IR122" s="36"/>
      <c r="IS122" s="36"/>
      <c r="IT122" s="36"/>
      <c r="IU122" s="36"/>
      <c r="IV122" s="36"/>
      <c r="IW122" s="36"/>
      <c r="IX122" s="36"/>
      <c r="IY122" s="36"/>
      <c r="IZ122" s="36"/>
      <c r="JA122" s="36"/>
      <c r="JB122" s="36"/>
      <c r="JC122" s="36"/>
      <c r="JD122" s="36"/>
      <c r="JE122" s="36"/>
      <c r="JF122" s="36"/>
      <c r="JG122" s="36"/>
      <c r="JH122" s="36"/>
      <c r="JI122" s="36"/>
      <c r="JJ122" s="36"/>
      <c r="JK122" s="36"/>
      <c r="JL122" s="36"/>
      <c r="JM122" s="36"/>
      <c r="JN122" s="36"/>
      <c r="JO122" s="36"/>
      <c r="JP122" s="36"/>
      <c r="JQ122" s="36"/>
      <c r="JR122" s="36"/>
      <c r="JS122" s="36"/>
      <c r="JT122" s="36"/>
      <c r="JU122" s="36"/>
      <c r="JV122" s="36"/>
      <c r="JW122" s="36"/>
      <c r="JX122" s="36"/>
      <c r="JY122" s="36"/>
      <c r="JZ122" s="36"/>
      <c r="KA122" s="36"/>
      <c r="KB122" s="36"/>
      <c r="KC122" s="36"/>
      <c r="KD122" s="36"/>
      <c r="KE122" s="36"/>
      <c r="KF122" s="36"/>
      <c r="KG122" s="36"/>
      <c r="KH122" s="36"/>
      <c r="KI122" s="36"/>
      <c r="KJ122" s="36"/>
      <c r="KK122" s="36"/>
      <c r="KL122" s="36"/>
      <c r="KM122" s="36"/>
      <c r="KN122" s="36"/>
      <c r="KO122" s="36"/>
      <c r="KP122" s="36"/>
      <c r="KQ122" s="36"/>
      <c r="KR122" s="36"/>
      <c r="KS122" s="36"/>
      <c r="KT122" s="36"/>
      <c r="KU122" s="36"/>
      <c r="KV122" s="36"/>
      <c r="KW122" s="36"/>
      <c r="KX122" s="36"/>
      <c r="KY122" s="36"/>
      <c r="KZ122" s="36"/>
      <c r="LA122" s="36"/>
      <c r="LB122" s="36"/>
      <c r="LC122" s="36"/>
      <c r="LD122" s="36"/>
      <c r="LE122" s="36"/>
      <c r="LF122" s="36"/>
      <c r="LG122" s="36"/>
      <c r="LH122" s="36"/>
      <c r="LI122" s="36"/>
      <c r="LJ122" s="36"/>
      <c r="LK122" s="36"/>
      <c r="LL122" s="36"/>
      <c r="LM122" s="36"/>
      <c r="LN122" s="36"/>
      <c r="LO122" s="36"/>
      <c r="LP122" s="36"/>
      <c r="LQ122" s="36"/>
      <c r="LR122" s="36"/>
      <c r="LS122" s="36"/>
      <c r="LT122" s="36"/>
      <c r="LU122" s="36"/>
      <c r="LV122" s="36"/>
      <c r="LW122" s="36"/>
      <c r="LX122" s="36"/>
      <c r="LY122" s="36"/>
      <c r="LZ122" s="36"/>
      <c r="MA122" s="36"/>
      <c r="MB122" s="36"/>
      <c r="MC122" s="36"/>
      <c r="MD122" s="36"/>
      <c r="ME122" s="36"/>
      <c r="MF122" s="36"/>
      <c r="MG122" s="36"/>
      <c r="MH122" s="36"/>
      <c r="MI122" s="36"/>
      <c r="MJ122" s="36"/>
      <c r="MK122" s="36"/>
      <c r="ML122" s="36"/>
      <c r="MM122" s="36"/>
      <c r="MN122" s="36"/>
      <c r="MO122" s="36"/>
      <c r="MP122" s="36"/>
      <c r="MQ122" s="36"/>
      <c r="MR122" s="36"/>
      <c r="MS122" s="36"/>
      <c r="MT122" s="36"/>
      <c r="MU122" s="36"/>
      <c r="MV122" s="36"/>
      <c r="MW122" s="36"/>
      <c r="MX122" s="36"/>
      <c r="MY122" s="36"/>
      <c r="MZ122" s="36"/>
      <c r="NA122" s="36"/>
      <c r="NB122" s="36"/>
      <c r="NC122" s="36"/>
      <c r="ND122" s="36"/>
      <c r="NE122" s="36"/>
      <c r="NF122" s="36"/>
      <c r="NG122" s="36"/>
      <c r="NH122" s="36"/>
      <c r="NI122" s="36"/>
      <c r="NJ122" s="36"/>
      <c r="NK122" s="36"/>
      <c r="NL122" s="36"/>
      <c r="NM122" s="36"/>
      <c r="NN122" s="36"/>
      <c r="NO122" s="36"/>
      <c r="NP122" s="36"/>
      <c r="NQ122" s="36"/>
      <c r="NR122" s="36"/>
      <c r="NS122" s="36"/>
      <c r="NT122" s="36"/>
      <c r="NU122" s="36"/>
      <c r="NV122" s="36"/>
      <c r="NW122" s="36"/>
      <c r="NX122" s="36"/>
      <c r="NY122" s="36"/>
      <c r="NZ122" s="36"/>
      <c r="OA122" s="36"/>
      <c r="OB122" s="36"/>
      <c r="OC122" s="36"/>
      <c r="OD122" s="36"/>
      <c r="OE122" s="36"/>
      <c r="OF122" s="36"/>
      <c r="OG122" s="36"/>
      <c r="OH122" s="36"/>
      <c r="OI122" s="36"/>
      <c r="OJ122" s="36"/>
      <c r="OK122" s="36"/>
      <c r="OL122" s="36"/>
      <c r="OM122" s="36"/>
      <c r="ON122" s="36"/>
      <c r="OO122" s="36"/>
      <c r="OP122" s="36"/>
      <c r="OQ122" s="36"/>
      <c r="OR122" s="36"/>
      <c r="OS122" s="36"/>
      <c r="OT122" s="36"/>
      <c r="OU122" s="36"/>
      <c r="OV122" s="36"/>
      <c r="OW122" s="36"/>
      <c r="OX122" s="36"/>
      <c r="OY122" s="36"/>
      <c r="OZ122" s="36"/>
      <c r="PA122" s="36"/>
      <c r="PB122" s="36"/>
      <c r="PC122" s="36"/>
      <c r="PD122" s="36"/>
      <c r="PE122" s="36"/>
      <c r="PF122" s="36"/>
      <c r="PG122" s="36"/>
      <c r="PH122" s="36"/>
      <c r="PI122" s="36"/>
      <c r="PJ122" s="36"/>
      <c r="PK122" s="36"/>
      <c r="PL122" s="36"/>
      <c r="PM122" s="36"/>
      <c r="PN122" s="36"/>
      <c r="PO122" s="36"/>
      <c r="PP122" s="36"/>
      <c r="PQ122" s="36"/>
      <c r="PR122" s="36"/>
      <c r="PS122" s="36"/>
      <c r="PT122" s="36"/>
      <c r="PU122" s="36"/>
      <c r="PV122" s="36"/>
      <c r="PW122" s="36"/>
      <c r="PX122" s="36"/>
      <c r="PY122" s="36"/>
      <c r="PZ122" s="36"/>
      <c r="QA122" s="36"/>
      <c r="QB122" s="36"/>
      <c r="QC122" s="36"/>
      <c r="QD122" s="36"/>
      <c r="QE122" s="36"/>
      <c r="QF122" s="36"/>
      <c r="QG122" s="36"/>
      <c r="QH122" s="36"/>
      <c r="QI122" s="36"/>
      <c r="QJ122" s="36"/>
      <c r="QK122" s="36"/>
      <c r="QL122" s="36"/>
      <c r="QM122" s="36"/>
      <c r="QN122" s="36"/>
      <c r="QO122" s="36"/>
      <c r="QP122" s="36"/>
      <c r="QQ122" s="36"/>
      <c r="QR122" s="36"/>
      <c r="QS122" s="36"/>
      <c r="QT122" s="36"/>
      <c r="QU122" s="36"/>
      <c r="QV122" s="36"/>
      <c r="QW122" s="36"/>
      <c r="QX122" s="36"/>
      <c r="QY122" s="36"/>
      <c r="QZ122" s="36"/>
      <c r="RA122" s="36"/>
      <c r="RB122" s="36"/>
      <c r="RC122" s="36"/>
      <c r="RD122" s="36"/>
      <c r="RE122" s="36"/>
      <c r="RF122" s="36"/>
      <c r="RG122" s="36"/>
      <c r="RH122" s="36"/>
      <c r="RI122" s="36"/>
      <c r="RJ122" s="36"/>
      <c r="RK122" s="36"/>
      <c r="RL122" s="36"/>
      <c r="RM122" s="36"/>
      <c r="RN122" s="36"/>
      <c r="RO122" s="36"/>
      <c r="RP122" s="36"/>
      <c r="RQ122" s="36"/>
      <c r="RR122" s="36"/>
      <c r="RS122" s="36"/>
      <c r="RT122" s="36"/>
      <c r="RU122" s="36"/>
      <c r="RV122" s="36"/>
      <c r="RW122" s="36"/>
      <c r="RX122" s="36"/>
      <c r="RY122" s="36"/>
      <c r="RZ122" s="36"/>
      <c r="SA122" s="36"/>
      <c r="SB122" s="36"/>
      <c r="SC122" s="36"/>
      <c r="SD122" s="36"/>
      <c r="SE122" s="36"/>
      <c r="SF122" s="36"/>
      <c r="SG122" s="36"/>
      <c r="SH122" s="36"/>
      <c r="SI122" s="36"/>
      <c r="SJ122" s="36"/>
      <c r="SK122" s="36"/>
      <c r="SL122" s="36"/>
      <c r="SM122" s="36"/>
      <c r="SN122" s="36"/>
      <c r="SO122" s="36"/>
      <c r="SP122" s="36"/>
      <c r="SQ122" s="36"/>
      <c r="SR122" s="36"/>
      <c r="SS122" s="36"/>
      <c r="ST122" s="36"/>
      <c r="SU122" s="36"/>
      <c r="SV122" s="36"/>
      <c r="SW122" s="36"/>
      <c r="SX122" s="36"/>
      <c r="SY122" s="36"/>
      <c r="SZ122" s="36"/>
      <c r="TA122" s="36"/>
      <c r="TB122" s="36"/>
      <c r="TC122" s="36"/>
      <c r="TD122" s="36"/>
      <c r="TE122" s="36"/>
      <c r="TF122" s="36"/>
      <c r="TG122" s="36"/>
      <c r="TH122" s="36"/>
      <c r="TI122" s="36"/>
      <c r="TJ122" s="36"/>
      <c r="TK122" s="36"/>
      <c r="TL122" s="36"/>
      <c r="TM122" s="36"/>
      <c r="TN122" s="36"/>
      <c r="TO122" s="36"/>
      <c r="TP122" s="36"/>
      <c r="TQ122" s="36"/>
      <c r="TR122" s="36"/>
      <c r="TS122" s="36"/>
      <c r="TT122" s="36"/>
      <c r="TU122" s="36"/>
      <c r="TV122" s="36"/>
      <c r="TW122" s="36"/>
      <c r="TX122" s="36"/>
      <c r="TY122" s="36"/>
      <c r="TZ122" s="36"/>
      <c r="UA122" s="36"/>
      <c r="UB122" s="36"/>
      <c r="UC122" s="36"/>
      <c r="UD122" s="36"/>
      <c r="UE122" s="36"/>
      <c r="UF122" s="36"/>
      <c r="UG122" s="36"/>
      <c r="UH122" s="36"/>
      <c r="UI122" s="36"/>
      <c r="UJ122" s="36"/>
      <c r="UK122" s="36"/>
      <c r="UL122" s="36"/>
      <c r="UM122" s="36"/>
      <c r="UN122" s="36"/>
      <c r="UO122" s="36"/>
      <c r="UP122" s="36"/>
      <c r="UQ122" s="36"/>
      <c r="UR122" s="36"/>
      <c r="US122" s="36"/>
      <c r="UT122" s="36"/>
      <c r="UU122" s="36"/>
      <c r="UV122" s="36"/>
      <c r="UW122" s="36"/>
      <c r="UX122" s="36"/>
      <c r="UY122" s="36"/>
      <c r="UZ122" s="36"/>
      <c r="VA122" s="36"/>
      <c r="VB122" s="36"/>
      <c r="VC122" s="36"/>
      <c r="VD122" s="36"/>
      <c r="VE122" s="36"/>
      <c r="VF122" s="36"/>
      <c r="VG122" s="36"/>
      <c r="VH122" s="36"/>
      <c r="VI122" s="36"/>
      <c r="VJ122" s="36"/>
      <c r="VK122" s="36"/>
      <c r="VL122" s="36"/>
      <c r="VM122" s="36"/>
      <c r="VN122" s="36"/>
      <c r="VO122" s="36"/>
      <c r="VP122" s="36"/>
      <c r="VQ122" s="36"/>
      <c r="VR122" s="36"/>
      <c r="VS122" s="36"/>
      <c r="VT122" s="36"/>
      <c r="VU122" s="36"/>
      <c r="VV122" s="36"/>
      <c r="VW122" s="36"/>
      <c r="VX122" s="36"/>
      <c r="VY122" s="36"/>
      <c r="VZ122" s="36"/>
      <c r="WA122" s="36"/>
      <c r="WB122" s="36"/>
      <c r="WC122" s="36"/>
      <c r="WD122" s="36"/>
      <c r="WE122" s="36"/>
      <c r="WF122" s="36"/>
      <c r="WG122" s="36"/>
      <c r="WH122" s="36"/>
      <c r="WI122" s="36"/>
      <c r="WJ122" s="36"/>
      <c r="WK122" s="36"/>
      <c r="WL122" s="36"/>
      <c r="WM122" s="36"/>
      <c r="WN122" s="36"/>
      <c r="WO122" s="36"/>
      <c r="WP122" s="36"/>
      <c r="WQ122" s="36"/>
      <c r="WR122" s="36"/>
      <c r="WS122" s="36"/>
      <c r="WT122" s="36"/>
      <c r="WU122" s="36"/>
      <c r="WV122" s="36"/>
      <c r="WW122" s="36"/>
      <c r="WX122" s="36"/>
      <c r="WY122" s="36"/>
    </row>
    <row r="123" spans="1:623" x14ac:dyDescent="0.3">
      <c r="A123" s="46"/>
      <c r="B123" s="46" t="s">
        <v>226</v>
      </c>
      <c r="D123" s="59"/>
      <c r="G123" s="61"/>
      <c r="I123" s="44"/>
      <c r="J123" s="45"/>
      <c r="K123" s="36"/>
      <c r="L123" s="36"/>
      <c r="N123" s="45"/>
      <c r="O123" s="10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  <c r="FD123" s="36"/>
      <c r="FE123" s="36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6"/>
      <c r="FX123" s="36"/>
      <c r="FY123" s="36"/>
      <c r="FZ123" s="36"/>
      <c r="GA123" s="36"/>
      <c r="GB123" s="36"/>
      <c r="GC123" s="36"/>
      <c r="GD123" s="36"/>
      <c r="GE123" s="36"/>
      <c r="GF123" s="36"/>
      <c r="GG123" s="36"/>
      <c r="GH123" s="36"/>
      <c r="GI123" s="36"/>
      <c r="GJ123" s="36"/>
      <c r="GK123" s="36"/>
      <c r="GL123" s="36"/>
      <c r="GM123" s="36"/>
      <c r="GN123" s="36"/>
      <c r="GO123" s="36"/>
      <c r="GP123" s="36"/>
      <c r="GQ123" s="36"/>
      <c r="GR123" s="36"/>
      <c r="GS123" s="36"/>
      <c r="GT123" s="36"/>
      <c r="GU123" s="36"/>
      <c r="GV123" s="36"/>
      <c r="GW123" s="36"/>
      <c r="GX123" s="36"/>
      <c r="GY123" s="36"/>
      <c r="GZ123" s="36"/>
      <c r="HA123" s="36"/>
      <c r="HB123" s="36"/>
      <c r="HC123" s="36"/>
      <c r="HD123" s="36"/>
      <c r="HE123" s="36"/>
      <c r="HF123" s="36"/>
      <c r="HG123" s="36"/>
      <c r="HH123" s="36"/>
      <c r="HI123" s="36"/>
      <c r="HJ123" s="36"/>
      <c r="HK123" s="36"/>
      <c r="HL123" s="36"/>
      <c r="HM123" s="36"/>
      <c r="HN123" s="36"/>
      <c r="HO123" s="36"/>
      <c r="HP123" s="36"/>
      <c r="HQ123" s="36"/>
      <c r="HR123" s="36"/>
      <c r="HS123" s="36"/>
      <c r="HT123" s="36"/>
      <c r="HU123" s="36"/>
      <c r="HV123" s="36"/>
      <c r="HW123" s="36"/>
      <c r="HX123" s="36"/>
      <c r="HY123" s="36"/>
      <c r="HZ123" s="36"/>
      <c r="IA123" s="36"/>
      <c r="IB123" s="36"/>
      <c r="IC123" s="36"/>
      <c r="ID123" s="36"/>
      <c r="IE123" s="36"/>
      <c r="IF123" s="36"/>
      <c r="IG123" s="36"/>
      <c r="IH123" s="36"/>
      <c r="II123" s="36"/>
      <c r="IJ123" s="36"/>
      <c r="IK123" s="36"/>
      <c r="IL123" s="36"/>
      <c r="IM123" s="36"/>
      <c r="IN123" s="36"/>
      <c r="IO123" s="36"/>
      <c r="IP123" s="36"/>
      <c r="IQ123" s="36"/>
      <c r="IR123" s="36"/>
      <c r="IS123" s="36"/>
      <c r="IT123" s="36"/>
      <c r="IU123" s="36"/>
      <c r="IV123" s="36"/>
      <c r="IW123" s="36"/>
      <c r="IX123" s="36"/>
      <c r="IY123" s="36"/>
      <c r="IZ123" s="36"/>
      <c r="JA123" s="36"/>
      <c r="JB123" s="36"/>
      <c r="JC123" s="36"/>
      <c r="JD123" s="36"/>
      <c r="JE123" s="36"/>
      <c r="JF123" s="36"/>
      <c r="JG123" s="36"/>
      <c r="JH123" s="36"/>
      <c r="JI123" s="36"/>
      <c r="JJ123" s="36"/>
      <c r="JK123" s="36"/>
      <c r="JL123" s="36"/>
      <c r="JM123" s="36"/>
      <c r="JN123" s="36"/>
      <c r="JO123" s="36"/>
      <c r="JP123" s="36"/>
      <c r="JQ123" s="36"/>
      <c r="JR123" s="36"/>
      <c r="JS123" s="36"/>
      <c r="JT123" s="36"/>
      <c r="JU123" s="36"/>
      <c r="JV123" s="36"/>
      <c r="JW123" s="36"/>
      <c r="JX123" s="36"/>
      <c r="JY123" s="36"/>
      <c r="JZ123" s="36"/>
      <c r="KA123" s="36"/>
      <c r="KB123" s="36"/>
      <c r="KC123" s="36"/>
      <c r="KD123" s="36"/>
      <c r="KE123" s="36"/>
      <c r="KF123" s="36"/>
      <c r="KG123" s="36"/>
      <c r="KH123" s="36"/>
      <c r="KI123" s="36"/>
      <c r="KJ123" s="36"/>
      <c r="KK123" s="36"/>
      <c r="KL123" s="36"/>
      <c r="KM123" s="36"/>
      <c r="KN123" s="36"/>
      <c r="KO123" s="36"/>
      <c r="KP123" s="36"/>
      <c r="KQ123" s="36"/>
      <c r="KR123" s="36"/>
      <c r="KS123" s="36"/>
      <c r="KT123" s="36"/>
      <c r="KU123" s="36"/>
      <c r="KV123" s="36"/>
      <c r="KW123" s="36"/>
      <c r="KX123" s="36"/>
      <c r="KY123" s="36"/>
      <c r="KZ123" s="36"/>
      <c r="LA123" s="36"/>
      <c r="LB123" s="36"/>
      <c r="LC123" s="36"/>
      <c r="LD123" s="36"/>
      <c r="LE123" s="36"/>
      <c r="LF123" s="36"/>
      <c r="LG123" s="36"/>
      <c r="LH123" s="36"/>
      <c r="LI123" s="36"/>
      <c r="LJ123" s="36"/>
      <c r="LK123" s="36"/>
      <c r="LL123" s="36"/>
      <c r="LM123" s="36"/>
      <c r="LN123" s="36"/>
      <c r="LO123" s="36"/>
      <c r="LP123" s="36"/>
      <c r="LQ123" s="36"/>
      <c r="LR123" s="36"/>
      <c r="LS123" s="36"/>
      <c r="LT123" s="36"/>
      <c r="LU123" s="36"/>
      <c r="LV123" s="36"/>
      <c r="LW123" s="36"/>
      <c r="LX123" s="36"/>
      <c r="LY123" s="36"/>
      <c r="LZ123" s="36"/>
      <c r="MA123" s="36"/>
      <c r="MB123" s="36"/>
      <c r="MC123" s="36"/>
      <c r="MD123" s="36"/>
      <c r="ME123" s="36"/>
      <c r="MF123" s="36"/>
      <c r="MG123" s="36"/>
      <c r="MH123" s="36"/>
      <c r="MI123" s="36"/>
      <c r="MJ123" s="36"/>
      <c r="MK123" s="36"/>
      <c r="ML123" s="36"/>
      <c r="MM123" s="36"/>
      <c r="MN123" s="36"/>
      <c r="MO123" s="36"/>
      <c r="MP123" s="36"/>
      <c r="MQ123" s="36"/>
      <c r="MR123" s="36"/>
      <c r="MS123" s="36"/>
      <c r="MT123" s="36"/>
      <c r="MU123" s="36"/>
      <c r="MV123" s="36"/>
      <c r="MW123" s="36"/>
      <c r="MX123" s="36"/>
      <c r="MY123" s="36"/>
      <c r="MZ123" s="36"/>
      <c r="NA123" s="36"/>
      <c r="NB123" s="36"/>
      <c r="NC123" s="36"/>
      <c r="ND123" s="36"/>
      <c r="NE123" s="36"/>
      <c r="NF123" s="36"/>
      <c r="NG123" s="36"/>
      <c r="NH123" s="36"/>
      <c r="NI123" s="36"/>
      <c r="NJ123" s="36"/>
      <c r="NK123" s="36"/>
      <c r="NL123" s="36"/>
      <c r="NM123" s="36"/>
      <c r="NN123" s="36"/>
      <c r="NO123" s="36"/>
      <c r="NP123" s="36"/>
      <c r="NQ123" s="36"/>
      <c r="NR123" s="36"/>
      <c r="NS123" s="36"/>
      <c r="NT123" s="36"/>
      <c r="NU123" s="36"/>
      <c r="NV123" s="36"/>
      <c r="NW123" s="36"/>
      <c r="NX123" s="36"/>
      <c r="NY123" s="36"/>
      <c r="NZ123" s="36"/>
      <c r="OA123" s="36"/>
      <c r="OB123" s="36"/>
      <c r="OC123" s="36"/>
      <c r="OD123" s="36"/>
      <c r="OE123" s="36"/>
      <c r="OF123" s="36"/>
      <c r="OG123" s="36"/>
      <c r="OH123" s="36"/>
      <c r="OI123" s="36"/>
      <c r="OJ123" s="36"/>
      <c r="OK123" s="36"/>
      <c r="OL123" s="36"/>
      <c r="OM123" s="36"/>
      <c r="ON123" s="36"/>
      <c r="OO123" s="36"/>
      <c r="OP123" s="36"/>
      <c r="OQ123" s="36"/>
      <c r="OR123" s="36"/>
      <c r="OS123" s="36"/>
      <c r="OT123" s="36"/>
      <c r="OU123" s="36"/>
      <c r="OV123" s="36"/>
      <c r="OW123" s="36"/>
      <c r="OX123" s="36"/>
      <c r="OY123" s="36"/>
      <c r="OZ123" s="36"/>
      <c r="PA123" s="36"/>
      <c r="PB123" s="36"/>
      <c r="PC123" s="36"/>
      <c r="PD123" s="36"/>
      <c r="PE123" s="36"/>
      <c r="PF123" s="36"/>
      <c r="PG123" s="36"/>
      <c r="PH123" s="36"/>
      <c r="PI123" s="36"/>
      <c r="PJ123" s="36"/>
      <c r="PK123" s="36"/>
      <c r="PL123" s="36"/>
      <c r="PM123" s="36"/>
      <c r="PN123" s="36"/>
      <c r="PO123" s="36"/>
      <c r="PP123" s="36"/>
      <c r="PQ123" s="36"/>
      <c r="PR123" s="36"/>
      <c r="PS123" s="36"/>
      <c r="PT123" s="36"/>
      <c r="PU123" s="36"/>
      <c r="PV123" s="36"/>
      <c r="PW123" s="36"/>
      <c r="PX123" s="36"/>
      <c r="PY123" s="36"/>
      <c r="PZ123" s="36"/>
      <c r="QA123" s="36"/>
      <c r="QB123" s="36"/>
      <c r="QC123" s="36"/>
      <c r="QD123" s="36"/>
      <c r="QE123" s="36"/>
      <c r="QF123" s="36"/>
      <c r="QG123" s="36"/>
      <c r="QH123" s="36"/>
      <c r="QI123" s="36"/>
      <c r="QJ123" s="36"/>
      <c r="QK123" s="36"/>
      <c r="QL123" s="36"/>
      <c r="QM123" s="36"/>
      <c r="QN123" s="36"/>
      <c r="QO123" s="36"/>
      <c r="QP123" s="36"/>
      <c r="QQ123" s="36"/>
      <c r="QR123" s="36"/>
      <c r="QS123" s="36"/>
      <c r="QT123" s="36"/>
      <c r="QU123" s="36"/>
      <c r="QV123" s="36"/>
      <c r="QW123" s="36"/>
      <c r="QX123" s="36"/>
      <c r="QY123" s="36"/>
      <c r="QZ123" s="36"/>
      <c r="RA123" s="36"/>
      <c r="RB123" s="36"/>
      <c r="RC123" s="36"/>
      <c r="RD123" s="36"/>
      <c r="RE123" s="36"/>
      <c r="RF123" s="36"/>
      <c r="RG123" s="36"/>
      <c r="RH123" s="36"/>
      <c r="RI123" s="36"/>
      <c r="RJ123" s="36"/>
      <c r="RK123" s="36"/>
      <c r="RL123" s="36"/>
      <c r="RM123" s="36"/>
      <c r="RN123" s="36"/>
      <c r="RO123" s="36"/>
      <c r="RP123" s="36"/>
      <c r="RQ123" s="36"/>
      <c r="RR123" s="36"/>
      <c r="RS123" s="36"/>
      <c r="RT123" s="36"/>
      <c r="RU123" s="36"/>
      <c r="RV123" s="36"/>
      <c r="RW123" s="36"/>
      <c r="RX123" s="36"/>
      <c r="RY123" s="36"/>
      <c r="RZ123" s="36"/>
      <c r="SA123" s="36"/>
      <c r="SB123" s="36"/>
      <c r="SC123" s="36"/>
      <c r="SD123" s="36"/>
      <c r="SE123" s="36"/>
      <c r="SF123" s="36"/>
      <c r="SG123" s="36"/>
      <c r="SH123" s="36"/>
      <c r="SI123" s="36"/>
      <c r="SJ123" s="36"/>
      <c r="SK123" s="36"/>
      <c r="SL123" s="36"/>
      <c r="SM123" s="36"/>
      <c r="SN123" s="36"/>
      <c r="SO123" s="36"/>
      <c r="SP123" s="36"/>
      <c r="SQ123" s="36"/>
      <c r="SR123" s="36"/>
      <c r="SS123" s="36"/>
      <c r="ST123" s="36"/>
      <c r="SU123" s="36"/>
      <c r="SV123" s="36"/>
      <c r="SW123" s="36"/>
      <c r="SX123" s="36"/>
      <c r="SY123" s="36"/>
      <c r="SZ123" s="36"/>
      <c r="TA123" s="36"/>
      <c r="TB123" s="36"/>
      <c r="TC123" s="36"/>
      <c r="TD123" s="36"/>
      <c r="TE123" s="36"/>
      <c r="TF123" s="36"/>
      <c r="TG123" s="36"/>
      <c r="TH123" s="36"/>
      <c r="TI123" s="36"/>
      <c r="TJ123" s="36"/>
      <c r="TK123" s="36"/>
      <c r="TL123" s="36"/>
      <c r="TM123" s="36"/>
      <c r="TN123" s="36"/>
      <c r="TO123" s="36"/>
      <c r="TP123" s="36"/>
      <c r="TQ123" s="36"/>
      <c r="TR123" s="36"/>
      <c r="TS123" s="36"/>
      <c r="TT123" s="36"/>
      <c r="TU123" s="36"/>
      <c r="TV123" s="36"/>
      <c r="TW123" s="36"/>
      <c r="TX123" s="36"/>
      <c r="TY123" s="36"/>
      <c r="TZ123" s="36"/>
      <c r="UA123" s="36"/>
      <c r="UB123" s="36"/>
      <c r="UC123" s="36"/>
      <c r="UD123" s="36"/>
      <c r="UE123" s="36"/>
      <c r="UF123" s="36"/>
      <c r="UG123" s="36"/>
      <c r="UH123" s="36"/>
      <c r="UI123" s="36"/>
      <c r="UJ123" s="36"/>
      <c r="UK123" s="36"/>
      <c r="UL123" s="36"/>
      <c r="UM123" s="36"/>
      <c r="UN123" s="36"/>
      <c r="UO123" s="36"/>
      <c r="UP123" s="36"/>
      <c r="UQ123" s="36"/>
      <c r="UR123" s="36"/>
      <c r="US123" s="36"/>
      <c r="UT123" s="36"/>
      <c r="UU123" s="36"/>
      <c r="UV123" s="36"/>
      <c r="UW123" s="36"/>
      <c r="UX123" s="36"/>
      <c r="UY123" s="36"/>
      <c r="UZ123" s="36"/>
      <c r="VA123" s="36"/>
      <c r="VB123" s="36"/>
      <c r="VC123" s="36"/>
      <c r="VD123" s="36"/>
      <c r="VE123" s="36"/>
      <c r="VF123" s="36"/>
      <c r="VG123" s="36"/>
      <c r="VH123" s="36"/>
      <c r="VI123" s="36"/>
      <c r="VJ123" s="36"/>
      <c r="VK123" s="36"/>
      <c r="VL123" s="36"/>
      <c r="VM123" s="36"/>
      <c r="VN123" s="36"/>
      <c r="VO123" s="36"/>
      <c r="VP123" s="36"/>
      <c r="VQ123" s="36"/>
      <c r="VR123" s="36"/>
      <c r="VS123" s="36"/>
      <c r="VT123" s="36"/>
      <c r="VU123" s="36"/>
      <c r="VV123" s="36"/>
      <c r="VW123" s="36"/>
      <c r="VX123" s="36"/>
      <c r="VY123" s="36"/>
      <c r="VZ123" s="36"/>
      <c r="WA123" s="36"/>
      <c r="WB123" s="36"/>
      <c r="WC123" s="36"/>
      <c r="WD123" s="36"/>
      <c r="WE123" s="36"/>
      <c r="WF123" s="36"/>
      <c r="WG123" s="36"/>
      <c r="WH123" s="36"/>
      <c r="WI123" s="36"/>
      <c r="WJ123" s="36"/>
      <c r="WK123" s="36"/>
      <c r="WL123" s="36"/>
      <c r="WM123" s="36"/>
      <c r="WN123" s="36"/>
      <c r="WO123" s="36"/>
      <c r="WP123" s="36"/>
      <c r="WQ123" s="36"/>
      <c r="WR123" s="36"/>
      <c r="WS123" s="36"/>
      <c r="WT123" s="36"/>
      <c r="WU123" s="36"/>
      <c r="WV123" s="36"/>
      <c r="WW123" s="36"/>
      <c r="WX123" s="36"/>
      <c r="WY123" s="36"/>
    </row>
    <row r="124" spans="1:623" ht="14.6" x14ac:dyDescent="0.4">
      <c r="A124" s="46"/>
      <c r="B124" s="46" t="s">
        <v>227</v>
      </c>
      <c r="C124" s="25" t="s">
        <v>182</v>
      </c>
      <c r="D124" s="59">
        <v>10</v>
      </c>
      <c r="G124" s="61"/>
      <c r="I124" s="44"/>
      <c r="J124" s="45"/>
      <c r="K124" s="36"/>
      <c r="L124" s="36"/>
      <c r="M124" s="34">
        <v>582</v>
      </c>
      <c r="N124" s="45">
        <f>M124*D124</f>
        <v>5820</v>
      </c>
      <c r="O124" s="116">
        <f t="shared" ref="O124:O143" si="31">N124*$O$6</f>
        <v>7449.6</v>
      </c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36"/>
      <c r="FE124" s="36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  <c r="FV124" s="36"/>
      <c r="FW124" s="36"/>
      <c r="FX124" s="36"/>
      <c r="FY124" s="36"/>
      <c r="FZ124" s="36"/>
      <c r="GA124" s="36"/>
      <c r="GB124" s="36"/>
      <c r="GC124" s="36"/>
      <c r="GD124" s="36"/>
      <c r="GE124" s="36"/>
      <c r="GF124" s="36"/>
      <c r="GG124" s="36"/>
      <c r="GH124" s="36"/>
      <c r="GI124" s="36"/>
      <c r="GJ124" s="36"/>
      <c r="GK124" s="36"/>
      <c r="GL124" s="36"/>
      <c r="GM124" s="36"/>
      <c r="GN124" s="36"/>
      <c r="GO124" s="36"/>
      <c r="GP124" s="36"/>
      <c r="GQ124" s="36"/>
      <c r="GR124" s="36"/>
      <c r="GS124" s="36"/>
      <c r="GT124" s="36"/>
      <c r="GU124" s="36"/>
      <c r="GV124" s="36"/>
      <c r="GW124" s="36"/>
      <c r="GX124" s="36"/>
      <c r="GY124" s="36"/>
      <c r="GZ124" s="36"/>
      <c r="HA124" s="36"/>
      <c r="HB124" s="36"/>
      <c r="HC124" s="36"/>
      <c r="HD124" s="36"/>
      <c r="HE124" s="36"/>
      <c r="HF124" s="36"/>
      <c r="HG124" s="36"/>
      <c r="HH124" s="36"/>
      <c r="HI124" s="36"/>
      <c r="HJ124" s="36"/>
      <c r="HK124" s="36"/>
      <c r="HL124" s="36"/>
      <c r="HM124" s="36"/>
      <c r="HN124" s="36"/>
      <c r="HO124" s="36"/>
      <c r="HP124" s="36"/>
      <c r="HQ124" s="36"/>
      <c r="HR124" s="36"/>
      <c r="HS124" s="36"/>
      <c r="HT124" s="36"/>
      <c r="HU124" s="36"/>
      <c r="HV124" s="36"/>
      <c r="HW124" s="36"/>
      <c r="HX124" s="36"/>
      <c r="HY124" s="36"/>
      <c r="HZ124" s="36"/>
      <c r="IA124" s="36"/>
      <c r="IB124" s="36"/>
      <c r="IC124" s="36"/>
      <c r="ID124" s="36"/>
      <c r="IE124" s="36"/>
      <c r="IF124" s="36"/>
      <c r="IG124" s="36"/>
      <c r="IH124" s="36"/>
      <c r="II124" s="36"/>
      <c r="IJ124" s="36"/>
      <c r="IK124" s="36"/>
      <c r="IL124" s="36"/>
      <c r="IM124" s="36"/>
      <c r="IN124" s="36"/>
      <c r="IO124" s="36"/>
      <c r="IP124" s="36"/>
      <c r="IQ124" s="36"/>
      <c r="IR124" s="36"/>
      <c r="IS124" s="36"/>
      <c r="IT124" s="36"/>
      <c r="IU124" s="36"/>
      <c r="IV124" s="36"/>
      <c r="IW124" s="36"/>
      <c r="IX124" s="36"/>
      <c r="IY124" s="36"/>
      <c r="IZ124" s="36"/>
      <c r="JA124" s="36"/>
      <c r="JB124" s="36"/>
      <c r="JC124" s="36"/>
      <c r="JD124" s="36"/>
      <c r="JE124" s="36"/>
      <c r="JF124" s="36"/>
      <c r="JG124" s="36"/>
      <c r="JH124" s="36"/>
      <c r="JI124" s="36"/>
      <c r="JJ124" s="36"/>
      <c r="JK124" s="36"/>
      <c r="JL124" s="36"/>
      <c r="JM124" s="36"/>
      <c r="JN124" s="36"/>
      <c r="JO124" s="36"/>
      <c r="JP124" s="36"/>
      <c r="JQ124" s="36"/>
      <c r="JR124" s="36"/>
      <c r="JS124" s="36"/>
      <c r="JT124" s="36"/>
      <c r="JU124" s="36"/>
      <c r="JV124" s="36"/>
      <c r="JW124" s="36"/>
      <c r="JX124" s="36"/>
      <c r="JY124" s="36"/>
      <c r="JZ124" s="36"/>
      <c r="KA124" s="36"/>
      <c r="KB124" s="36"/>
      <c r="KC124" s="36"/>
      <c r="KD124" s="36"/>
      <c r="KE124" s="36"/>
      <c r="KF124" s="36"/>
      <c r="KG124" s="36"/>
      <c r="KH124" s="36"/>
      <c r="KI124" s="36"/>
      <c r="KJ124" s="36"/>
      <c r="KK124" s="36"/>
      <c r="KL124" s="36"/>
      <c r="KM124" s="36"/>
      <c r="KN124" s="36"/>
      <c r="KO124" s="36"/>
      <c r="KP124" s="36"/>
      <c r="KQ124" s="36"/>
      <c r="KR124" s="36"/>
      <c r="KS124" s="36"/>
      <c r="KT124" s="36"/>
      <c r="KU124" s="36"/>
      <c r="KV124" s="36"/>
      <c r="KW124" s="36"/>
      <c r="KX124" s="36"/>
      <c r="KY124" s="36"/>
      <c r="KZ124" s="36"/>
      <c r="LA124" s="36"/>
      <c r="LB124" s="36"/>
      <c r="LC124" s="36"/>
      <c r="LD124" s="36"/>
      <c r="LE124" s="36"/>
      <c r="LF124" s="36"/>
      <c r="LG124" s="36"/>
      <c r="LH124" s="36"/>
      <c r="LI124" s="36"/>
      <c r="LJ124" s="36"/>
      <c r="LK124" s="36"/>
      <c r="LL124" s="36"/>
      <c r="LM124" s="36"/>
      <c r="LN124" s="36"/>
      <c r="LO124" s="36"/>
      <c r="LP124" s="36"/>
      <c r="LQ124" s="36"/>
      <c r="LR124" s="36"/>
      <c r="LS124" s="36"/>
      <c r="LT124" s="36"/>
      <c r="LU124" s="36"/>
      <c r="LV124" s="36"/>
      <c r="LW124" s="36"/>
      <c r="LX124" s="36"/>
      <c r="LY124" s="36"/>
      <c r="LZ124" s="36"/>
      <c r="MA124" s="36"/>
      <c r="MB124" s="36"/>
      <c r="MC124" s="36"/>
      <c r="MD124" s="36"/>
      <c r="ME124" s="36"/>
      <c r="MF124" s="36"/>
      <c r="MG124" s="36"/>
      <c r="MH124" s="36"/>
      <c r="MI124" s="36"/>
      <c r="MJ124" s="36"/>
      <c r="MK124" s="36"/>
      <c r="ML124" s="36"/>
      <c r="MM124" s="36"/>
      <c r="MN124" s="36"/>
      <c r="MO124" s="36"/>
      <c r="MP124" s="36"/>
      <c r="MQ124" s="36"/>
      <c r="MR124" s="36"/>
      <c r="MS124" s="36"/>
      <c r="MT124" s="36"/>
      <c r="MU124" s="36"/>
      <c r="MV124" s="36"/>
      <c r="MW124" s="36"/>
      <c r="MX124" s="36"/>
      <c r="MY124" s="36"/>
      <c r="MZ124" s="36"/>
      <c r="NA124" s="36"/>
      <c r="NB124" s="36"/>
      <c r="NC124" s="36"/>
      <c r="ND124" s="36"/>
      <c r="NE124" s="36"/>
      <c r="NF124" s="36"/>
      <c r="NG124" s="36"/>
      <c r="NH124" s="36"/>
      <c r="NI124" s="36"/>
      <c r="NJ124" s="36"/>
      <c r="NK124" s="36"/>
      <c r="NL124" s="36"/>
      <c r="NM124" s="36"/>
      <c r="NN124" s="36"/>
      <c r="NO124" s="36"/>
      <c r="NP124" s="36"/>
      <c r="NQ124" s="36"/>
      <c r="NR124" s="36"/>
      <c r="NS124" s="36"/>
      <c r="NT124" s="36"/>
      <c r="NU124" s="36"/>
      <c r="NV124" s="36"/>
      <c r="NW124" s="36"/>
      <c r="NX124" s="36"/>
      <c r="NY124" s="36"/>
      <c r="NZ124" s="36"/>
      <c r="OA124" s="36"/>
      <c r="OB124" s="36"/>
      <c r="OC124" s="36"/>
      <c r="OD124" s="36"/>
      <c r="OE124" s="36"/>
      <c r="OF124" s="36"/>
      <c r="OG124" s="36"/>
      <c r="OH124" s="36"/>
      <c r="OI124" s="36"/>
      <c r="OJ124" s="36"/>
      <c r="OK124" s="36"/>
      <c r="OL124" s="36"/>
      <c r="OM124" s="36"/>
      <c r="ON124" s="36"/>
      <c r="OO124" s="36"/>
      <c r="OP124" s="36"/>
      <c r="OQ124" s="36"/>
      <c r="OR124" s="36"/>
      <c r="OS124" s="36"/>
      <c r="OT124" s="36"/>
      <c r="OU124" s="36"/>
      <c r="OV124" s="36"/>
      <c r="OW124" s="36"/>
      <c r="OX124" s="36"/>
      <c r="OY124" s="36"/>
      <c r="OZ124" s="36"/>
      <c r="PA124" s="36"/>
      <c r="PB124" s="36"/>
      <c r="PC124" s="36"/>
      <c r="PD124" s="36"/>
      <c r="PE124" s="36"/>
      <c r="PF124" s="36"/>
      <c r="PG124" s="36"/>
      <c r="PH124" s="36"/>
      <c r="PI124" s="36"/>
      <c r="PJ124" s="36"/>
      <c r="PK124" s="36"/>
      <c r="PL124" s="36"/>
      <c r="PM124" s="36"/>
      <c r="PN124" s="36"/>
      <c r="PO124" s="36"/>
      <c r="PP124" s="36"/>
      <c r="PQ124" s="36"/>
      <c r="PR124" s="36"/>
      <c r="PS124" s="36"/>
      <c r="PT124" s="36"/>
      <c r="PU124" s="36"/>
      <c r="PV124" s="36"/>
      <c r="PW124" s="36"/>
      <c r="PX124" s="36"/>
      <c r="PY124" s="36"/>
      <c r="PZ124" s="36"/>
      <c r="QA124" s="36"/>
      <c r="QB124" s="36"/>
      <c r="QC124" s="36"/>
      <c r="QD124" s="36"/>
      <c r="QE124" s="36"/>
      <c r="QF124" s="36"/>
      <c r="QG124" s="36"/>
      <c r="QH124" s="36"/>
      <c r="QI124" s="36"/>
      <c r="QJ124" s="36"/>
      <c r="QK124" s="36"/>
      <c r="QL124" s="36"/>
      <c r="QM124" s="36"/>
      <c r="QN124" s="36"/>
      <c r="QO124" s="36"/>
      <c r="QP124" s="36"/>
      <c r="QQ124" s="36"/>
      <c r="QR124" s="36"/>
      <c r="QS124" s="36"/>
      <c r="QT124" s="36"/>
      <c r="QU124" s="36"/>
      <c r="QV124" s="36"/>
      <c r="QW124" s="36"/>
      <c r="QX124" s="36"/>
      <c r="QY124" s="36"/>
      <c r="QZ124" s="36"/>
      <c r="RA124" s="36"/>
      <c r="RB124" s="36"/>
      <c r="RC124" s="36"/>
      <c r="RD124" s="36"/>
      <c r="RE124" s="36"/>
      <c r="RF124" s="36"/>
      <c r="RG124" s="36"/>
      <c r="RH124" s="36"/>
      <c r="RI124" s="36"/>
      <c r="RJ124" s="36"/>
      <c r="RK124" s="36"/>
      <c r="RL124" s="36"/>
      <c r="RM124" s="36"/>
      <c r="RN124" s="36"/>
      <c r="RO124" s="36"/>
      <c r="RP124" s="36"/>
      <c r="RQ124" s="36"/>
      <c r="RR124" s="36"/>
      <c r="RS124" s="36"/>
      <c r="RT124" s="36"/>
      <c r="RU124" s="36"/>
      <c r="RV124" s="36"/>
      <c r="RW124" s="36"/>
      <c r="RX124" s="36"/>
      <c r="RY124" s="36"/>
      <c r="RZ124" s="36"/>
      <c r="SA124" s="36"/>
      <c r="SB124" s="36"/>
      <c r="SC124" s="36"/>
      <c r="SD124" s="36"/>
      <c r="SE124" s="36"/>
      <c r="SF124" s="36"/>
      <c r="SG124" s="36"/>
      <c r="SH124" s="36"/>
      <c r="SI124" s="36"/>
      <c r="SJ124" s="36"/>
      <c r="SK124" s="36"/>
      <c r="SL124" s="36"/>
      <c r="SM124" s="36"/>
      <c r="SN124" s="36"/>
      <c r="SO124" s="36"/>
      <c r="SP124" s="36"/>
      <c r="SQ124" s="36"/>
      <c r="SR124" s="36"/>
      <c r="SS124" s="36"/>
      <c r="ST124" s="36"/>
      <c r="SU124" s="36"/>
      <c r="SV124" s="36"/>
      <c r="SW124" s="36"/>
      <c r="SX124" s="36"/>
      <c r="SY124" s="36"/>
      <c r="SZ124" s="36"/>
      <c r="TA124" s="36"/>
      <c r="TB124" s="36"/>
      <c r="TC124" s="36"/>
      <c r="TD124" s="36"/>
      <c r="TE124" s="36"/>
      <c r="TF124" s="36"/>
      <c r="TG124" s="36"/>
      <c r="TH124" s="36"/>
      <c r="TI124" s="36"/>
      <c r="TJ124" s="36"/>
      <c r="TK124" s="36"/>
      <c r="TL124" s="36"/>
      <c r="TM124" s="36"/>
      <c r="TN124" s="36"/>
      <c r="TO124" s="36"/>
      <c r="TP124" s="36"/>
      <c r="TQ124" s="36"/>
      <c r="TR124" s="36"/>
      <c r="TS124" s="36"/>
      <c r="TT124" s="36"/>
      <c r="TU124" s="36"/>
      <c r="TV124" s="36"/>
      <c r="TW124" s="36"/>
      <c r="TX124" s="36"/>
      <c r="TY124" s="36"/>
      <c r="TZ124" s="36"/>
      <c r="UA124" s="36"/>
      <c r="UB124" s="36"/>
      <c r="UC124" s="36"/>
      <c r="UD124" s="36"/>
      <c r="UE124" s="36"/>
      <c r="UF124" s="36"/>
      <c r="UG124" s="36"/>
      <c r="UH124" s="36"/>
      <c r="UI124" s="36"/>
      <c r="UJ124" s="36"/>
      <c r="UK124" s="36"/>
      <c r="UL124" s="36"/>
      <c r="UM124" s="36"/>
      <c r="UN124" s="36"/>
      <c r="UO124" s="36"/>
      <c r="UP124" s="36"/>
      <c r="UQ124" s="36"/>
      <c r="UR124" s="36"/>
      <c r="US124" s="36"/>
      <c r="UT124" s="36"/>
      <c r="UU124" s="36"/>
      <c r="UV124" s="36"/>
      <c r="UW124" s="36"/>
      <c r="UX124" s="36"/>
      <c r="UY124" s="36"/>
      <c r="UZ124" s="36"/>
      <c r="VA124" s="36"/>
      <c r="VB124" s="36"/>
      <c r="VC124" s="36"/>
      <c r="VD124" s="36"/>
      <c r="VE124" s="36"/>
      <c r="VF124" s="36"/>
      <c r="VG124" s="36"/>
      <c r="VH124" s="36"/>
      <c r="VI124" s="36"/>
      <c r="VJ124" s="36"/>
      <c r="VK124" s="36"/>
      <c r="VL124" s="36"/>
      <c r="VM124" s="36"/>
      <c r="VN124" s="36"/>
      <c r="VO124" s="36"/>
      <c r="VP124" s="36"/>
      <c r="VQ124" s="36"/>
      <c r="VR124" s="36"/>
      <c r="VS124" s="36"/>
      <c r="VT124" s="36"/>
      <c r="VU124" s="36"/>
      <c r="VV124" s="36"/>
      <c r="VW124" s="36"/>
      <c r="VX124" s="36"/>
      <c r="VY124" s="36"/>
      <c r="VZ124" s="36"/>
      <c r="WA124" s="36"/>
      <c r="WB124" s="36"/>
      <c r="WC124" s="36"/>
      <c r="WD124" s="36"/>
      <c r="WE124" s="36"/>
      <c r="WF124" s="36"/>
      <c r="WG124" s="36"/>
      <c r="WH124" s="36"/>
      <c r="WI124" s="36"/>
      <c r="WJ124" s="36"/>
      <c r="WK124" s="36"/>
      <c r="WL124" s="36"/>
      <c r="WM124" s="36"/>
      <c r="WN124" s="36"/>
      <c r="WO124" s="36"/>
      <c r="WP124" s="36"/>
      <c r="WQ124" s="36"/>
      <c r="WR124" s="36"/>
      <c r="WS124" s="36"/>
      <c r="WT124" s="36"/>
      <c r="WU124" s="36"/>
      <c r="WV124" s="36"/>
      <c r="WW124" s="36"/>
      <c r="WX124" s="36"/>
      <c r="WY124" s="36"/>
    </row>
    <row r="125" spans="1:623" x14ac:dyDescent="0.3">
      <c r="A125" s="46"/>
      <c r="B125" s="2"/>
      <c r="D125" s="59"/>
      <c r="G125" s="61"/>
      <c r="I125" s="44"/>
      <c r="J125" s="45"/>
      <c r="K125" s="36"/>
      <c r="L125" s="36"/>
      <c r="N125" s="45"/>
      <c r="O125" s="10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36"/>
      <c r="FC125" s="36"/>
      <c r="FD125" s="36"/>
      <c r="FE125" s="36"/>
      <c r="FF125" s="36"/>
      <c r="FG125" s="36"/>
      <c r="FH125" s="36"/>
      <c r="FI125" s="36"/>
      <c r="FJ125" s="36"/>
      <c r="FK125" s="36"/>
      <c r="FL125" s="36"/>
      <c r="FM125" s="36"/>
      <c r="FN125" s="36"/>
      <c r="FO125" s="36"/>
      <c r="FP125" s="36"/>
      <c r="FQ125" s="36"/>
      <c r="FR125" s="36"/>
      <c r="FS125" s="36"/>
      <c r="FT125" s="36"/>
      <c r="FU125" s="36"/>
      <c r="FV125" s="36"/>
      <c r="FW125" s="36"/>
      <c r="FX125" s="36"/>
      <c r="FY125" s="36"/>
      <c r="FZ125" s="36"/>
      <c r="GA125" s="36"/>
      <c r="GB125" s="36"/>
      <c r="GC125" s="36"/>
      <c r="GD125" s="36"/>
      <c r="GE125" s="36"/>
      <c r="GF125" s="36"/>
      <c r="GG125" s="36"/>
      <c r="GH125" s="36"/>
      <c r="GI125" s="36"/>
      <c r="GJ125" s="36"/>
      <c r="GK125" s="36"/>
      <c r="GL125" s="36"/>
      <c r="GM125" s="36"/>
      <c r="GN125" s="36"/>
      <c r="GO125" s="36"/>
      <c r="GP125" s="36"/>
      <c r="GQ125" s="36"/>
      <c r="GR125" s="36"/>
      <c r="GS125" s="36"/>
      <c r="GT125" s="36"/>
      <c r="GU125" s="36"/>
      <c r="GV125" s="36"/>
      <c r="GW125" s="36"/>
      <c r="GX125" s="36"/>
      <c r="GY125" s="36"/>
      <c r="GZ125" s="36"/>
      <c r="HA125" s="36"/>
      <c r="HB125" s="36"/>
      <c r="HC125" s="36"/>
      <c r="HD125" s="36"/>
      <c r="HE125" s="36"/>
      <c r="HF125" s="36"/>
      <c r="HG125" s="36"/>
      <c r="HH125" s="36"/>
      <c r="HI125" s="36"/>
      <c r="HJ125" s="36"/>
      <c r="HK125" s="36"/>
      <c r="HL125" s="36"/>
      <c r="HM125" s="36"/>
      <c r="HN125" s="36"/>
      <c r="HO125" s="36"/>
      <c r="HP125" s="36"/>
      <c r="HQ125" s="36"/>
      <c r="HR125" s="36"/>
      <c r="HS125" s="36"/>
      <c r="HT125" s="36"/>
      <c r="HU125" s="36"/>
      <c r="HV125" s="36"/>
      <c r="HW125" s="36"/>
      <c r="HX125" s="36"/>
      <c r="HY125" s="36"/>
      <c r="HZ125" s="36"/>
      <c r="IA125" s="36"/>
      <c r="IB125" s="36"/>
      <c r="IC125" s="36"/>
      <c r="ID125" s="36"/>
      <c r="IE125" s="36"/>
      <c r="IF125" s="36"/>
      <c r="IG125" s="36"/>
      <c r="IH125" s="36"/>
      <c r="II125" s="36"/>
      <c r="IJ125" s="36"/>
      <c r="IK125" s="36"/>
      <c r="IL125" s="36"/>
      <c r="IM125" s="36"/>
      <c r="IN125" s="36"/>
      <c r="IO125" s="36"/>
      <c r="IP125" s="36"/>
      <c r="IQ125" s="36"/>
      <c r="IR125" s="36"/>
      <c r="IS125" s="36"/>
      <c r="IT125" s="36"/>
      <c r="IU125" s="36"/>
      <c r="IV125" s="36"/>
      <c r="IW125" s="36"/>
      <c r="IX125" s="36"/>
      <c r="IY125" s="36"/>
      <c r="IZ125" s="36"/>
      <c r="JA125" s="36"/>
      <c r="JB125" s="36"/>
      <c r="JC125" s="36"/>
      <c r="JD125" s="36"/>
      <c r="JE125" s="36"/>
      <c r="JF125" s="36"/>
      <c r="JG125" s="36"/>
      <c r="JH125" s="36"/>
      <c r="JI125" s="36"/>
      <c r="JJ125" s="36"/>
      <c r="JK125" s="36"/>
      <c r="JL125" s="36"/>
      <c r="JM125" s="36"/>
      <c r="JN125" s="36"/>
      <c r="JO125" s="36"/>
      <c r="JP125" s="36"/>
      <c r="JQ125" s="36"/>
      <c r="JR125" s="36"/>
      <c r="JS125" s="36"/>
      <c r="JT125" s="36"/>
      <c r="JU125" s="36"/>
      <c r="JV125" s="36"/>
      <c r="JW125" s="36"/>
      <c r="JX125" s="36"/>
      <c r="JY125" s="36"/>
      <c r="JZ125" s="36"/>
      <c r="KA125" s="36"/>
      <c r="KB125" s="36"/>
      <c r="KC125" s="36"/>
      <c r="KD125" s="36"/>
      <c r="KE125" s="36"/>
      <c r="KF125" s="36"/>
      <c r="KG125" s="36"/>
      <c r="KH125" s="36"/>
      <c r="KI125" s="36"/>
      <c r="KJ125" s="36"/>
      <c r="KK125" s="36"/>
      <c r="KL125" s="36"/>
      <c r="KM125" s="36"/>
      <c r="KN125" s="36"/>
      <c r="KO125" s="36"/>
      <c r="KP125" s="36"/>
      <c r="KQ125" s="36"/>
      <c r="KR125" s="36"/>
      <c r="KS125" s="36"/>
      <c r="KT125" s="36"/>
      <c r="KU125" s="36"/>
      <c r="KV125" s="36"/>
      <c r="KW125" s="36"/>
      <c r="KX125" s="36"/>
      <c r="KY125" s="36"/>
      <c r="KZ125" s="36"/>
      <c r="LA125" s="36"/>
      <c r="LB125" s="36"/>
      <c r="LC125" s="36"/>
      <c r="LD125" s="36"/>
      <c r="LE125" s="36"/>
      <c r="LF125" s="36"/>
      <c r="LG125" s="36"/>
      <c r="LH125" s="36"/>
      <c r="LI125" s="36"/>
      <c r="LJ125" s="36"/>
      <c r="LK125" s="36"/>
      <c r="LL125" s="36"/>
      <c r="LM125" s="36"/>
      <c r="LN125" s="36"/>
      <c r="LO125" s="36"/>
      <c r="LP125" s="36"/>
      <c r="LQ125" s="36"/>
      <c r="LR125" s="36"/>
      <c r="LS125" s="36"/>
      <c r="LT125" s="36"/>
      <c r="LU125" s="36"/>
      <c r="LV125" s="36"/>
      <c r="LW125" s="36"/>
      <c r="LX125" s="36"/>
      <c r="LY125" s="36"/>
      <c r="LZ125" s="36"/>
      <c r="MA125" s="36"/>
      <c r="MB125" s="36"/>
      <c r="MC125" s="36"/>
      <c r="MD125" s="36"/>
      <c r="ME125" s="36"/>
      <c r="MF125" s="36"/>
      <c r="MG125" s="36"/>
      <c r="MH125" s="36"/>
      <c r="MI125" s="36"/>
      <c r="MJ125" s="36"/>
      <c r="MK125" s="36"/>
      <c r="ML125" s="36"/>
      <c r="MM125" s="36"/>
      <c r="MN125" s="36"/>
      <c r="MO125" s="36"/>
      <c r="MP125" s="36"/>
      <c r="MQ125" s="36"/>
      <c r="MR125" s="36"/>
      <c r="MS125" s="36"/>
      <c r="MT125" s="36"/>
      <c r="MU125" s="36"/>
      <c r="MV125" s="36"/>
      <c r="MW125" s="36"/>
      <c r="MX125" s="36"/>
      <c r="MY125" s="36"/>
      <c r="MZ125" s="36"/>
      <c r="NA125" s="36"/>
      <c r="NB125" s="36"/>
      <c r="NC125" s="36"/>
      <c r="ND125" s="36"/>
      <c r="NE125" s="36"/>
      <c r="NF125" s="36"/>
      <c r="NG125" s="36"/>
      <c r="NH125" s="36"/>
      <c r="NI125" s="36"/>
      <c r="NJ125" s="36"/>
      <c r="NK125" s="36"/>
      <c r="NL125" s="36"/>
      <c r="NM125" s="36"/>
      <c r="NN125" s="36"/>
      <c r="NO125" s="36"/>
      <c r="NP125" s="36"/>
      <c r="NQ125" s="36"/>
      <c r="NR125" s="36"/>
      <c r="NS125" s="36"/>
      <c r="NT125" s="36"/>
      <c r="NU125" s="36"/>
      <c r="NV125" s="36"/>
      <c r="NW125" s="36"/>
      <c r="NX125" s="36"/>
      <c r="NY125" s="36"/>
      <c r="NZ125" s="36"/>
      <c r="OA125" s="36"/>
      <c r="OB125" s="36"/>
      <c r="OC125" s="36"/>
      <c r="OD125" s="36"/>
      <c r="OE125" s="36"/>
      <c r="OF125" s="36"/>
      <c r="OG125" s="36"/>
      <c r="OH125" s="36"/>
      <c r="OI125" s="36"/>
      <c r="OJ125" s="36"/>
      <c r="OK125" s="36"/>
      <c r="OL125" s="36"/>
      <c r="OM125" s="36"/>
      <c r="ON125" s="36"/>
      <c r="OO125" s="36"/>
      <c r="OP125" s="36"/>
      <c r="OQ125" s="36"/>
      <c r="OR125" s="36"/>
      <c r="OS125" s="36"/>
      <c r="OT125" s="36"/>
      <c r="OU125" s="36"/>
      <c r="OV125" s="36"/>
      <c r="OW125" s="36"/>
      <c r="OX125" s="36"/>
      <c r="OY125" s="36"/>
      <c r="OZ125" s="36"/>
      <c r="PA125" s="36"/>
      <c r="PB125" s="36"/>
      <c r="PC125" s="36"/>
      <c r="PD125" s="36"/>
      <c r="PE125" s="36"/>
      <c r="PF125" s="36"/>
      <c r="PG125" s="36"/>
      <c r="PH125" s="36"/>
      <c r="PI125" s="36"/>
      <c r="PJ125" s="36"/>
      <c r="PK125" s="36"/>
      <c r="PL125" s="36"/>
      <c r="PM125" s="36"/>
      <c r="PN125" s="36"/>
      <c r="PO125" s="36"/>
      <c r="PP125" s="36"/>
      <c r="PQ125" s="36"/>
      <c r="PR125" s="36"/>
      <c r="PS125" s="36"/>
      <c r="PT125" s="36"/>
      <c r="PU125" s="36"/>
      <c r="PV125" s="36"/>
      <c r="PW125" s="36"/>
      <c r="PX125" s="36"/>
      <c r="PY125" s="36"/>
      <c r="PZ125" s="36"/>
      <c r="QA125" s="36"/>
      <c r="QB125" s="36"/>
      <c r="QC125" s="36"/>
      <c r="QD125" s="36"/>
      <c r="QE125" s="36"/>
      <c r="QF125" s="36"/>
      <c r="QG125" s="36"/>
      <c r="QH125" s="36"/>
      <c r="QI125" s="36"/>
      <c r="QJ125" s="36"/>
      <c r="QK125" s="36"/>
      <c r="QL125" s="36"/>
      <c r="QM125" s="36"/>
      <c r="QN125" s="36"/>
      <c r="QO125" s="36"/>
      <c r="QP125" s="36"/>
      <c r="QQ125" s="36"/>
      <c r="QR125" s="36"/>
      <c r="QS125" s="36"/>
      <c r="QT125" s="36"/>
      <c r="QU125" s="36"/>
      <c r="QV125" s="36"/>
      <c r="QW125" s="36"/>
      <c r="QX125" s="36"/>
      <c r="QY125" s="36"/>
      <c r="QZ125" s="36"/>
      <c r="RA125" s="36"/>
      <c r="RB125" s="36"/>
      <c r="RC125" s="36"/>
      <c r="RD125" s="36"/>
      <c r="RE125" s="36"/>
      <c r="RF125" s="36"/>
      <c r="RG125" s="36"/>
      <c r="RH125" s="36"/>
      <c r="RI125" s="36"/>
      <c r="RJ125" s="36"/>
      <c r="RK125" s="36"/>
      <c r="RL125" s="36"/>
      <c r="RM125" s="36"/>
      <c r="RN125" s="36"/>
      <c r="RO125" s="36"/>
      <c r="RP125" s="36"/>
      <c r="RQ125" s="36"/>
      <c r="RR125" s="36"/>
      <c r="RS125" s="36"/>
      <c r="RT125" s="36"/>
      <c r="RU125" s="36"/>
      <c r="RV125" s="36"/>
      <c r="RW125" s="36"/>
      <c r="RX125" s="36"/>
      <c r="RY125" s="36"/>
      <c r="RZ125" s="36"/>
      <c r="SA125" s="36"/>
      <c r="SB125" s="36"/>
      <c r="SC125" s="36"/>
      <c r="SD125" s="36"/>
      <c r="SE125" s="36"/>
      <c r="SF125" s="36"/>
      <c r="SG125" s="36"/>
      <c r="SH125" s="36"/>
      <c r="SI125" s="36"/>
      <c r="SJ125" s="36"/>
      <c r="SK125" s="36"/>
      <c r="SL125" s="36"/>
      <c r="SM125" s="36"/>
      <c r="SN125" s="36"/>
      <c r="SO125" s="36"/>
      <c r="SP125" s="36"/>
      <c r="SQ125" s="36"/>
      <c r="SR125" s="36"/>
      <c r="SS125" s="36"/>
      <c r="ST125" s="36"/>
      <c r="SU125" s="36"/>
      <c r="SV125" s="36"/>
      <c r="SW125" s="36"/>
      <c r="SX125" s="36"/>
      <c r="SY125" s="36"/>
      <c r="SZ125" s="36"/>
      <c r="TA125" s="36"/>
      <c r="TB125" s="36"/>
      <c r="TC125" s="36"/>
      <c r="TD125" s="36"/>
      <c r="TE125" s="36"/>
      <c r="TF125" s="36"/>
      <c r="TG125" s="36"/>
      <c r="TH125" s="36"/>
      <c r="TI125" s="36"/>
      <c r="TJ125" s="36"/>
      <c r="TK125" s="36"/>
      <c r="TL125" s="36"/>
      <c r="TM125" s="36"/>
      <c r="TN125" s="36"/>
      <c r="TO125" s="36"/>
      <c r="TP125" s="36"/>
      <c r="TQ125" s="36"/>
      <c r="TR125" s="36"/>
      <c r="TS125" s="36"/>
      <c r="TT125" s="36"/>
      <c r="TU125" s="36"/>
      <c r="TV125" s="36"/>
      <c r="TW125" s="36"/>
      <c r="TX125" s="36"/>
      <c r="TY125" s="36"/>
      <c r="TZ125" s="36"/>
      <c r="UA125" s="36"/>
      <c r="UB125" s="36"/>
      <c r="UC125" s="36"/>
      <c r="UD125" s="36"/>
      <c r="UE125" s="36"/>
      <c r="UF125" s="36"/>
      <c r="UG125" s="36"/>
      <c r="UH125" s="36"/>
      <c r="UI125" s="36"/>
      <c r="UJ125" s="36"/>
      <c r="UK125" s="36"/>
      <c r="UL125" s="36"/>
      <c r="UM125" s="36"/>
      <c r="UN125" s="36"/>
      <c r="UO125" s="36"/>
      <c r="UP125" s="36"/>
      <c r="UQ125" s="36"/>
      <c r="UR125" s="36"/>
      <c r="US125" s="36"/>
      <c r="UT125" s="36"/>
      <c r="UU125" s="36"/>
      <c r="UV125" s="36"/>
      <c r="UW125" s="36"/>
      <c r="UX125" s="36"/>
      <c r="UY125" s="36"/>
      <c r="UZ125" s="36"/>
      <c r="VA125" s="36"/>
      <c r="VB125" s="36"/>
      <c r="VC125" s="36"/>
      <c r="VD125" s="36"/>
      <c r="VE125" s="36"/>
      <c r="VF125" s="36"/>
      <c r="VG125" s="36"/>
      <c r="VH125" s="36"/>
      <c r="VI125" s="36"/>
      <c r="VJ125" s="36"/>
      <c r="VK125" s="36"/>
      <c r="VL125" s="36"/>
      <c r="VM125" s="36"/>
      <c r="VN125" s="36"/>
      <c r="VO125" s="36"/>
      <c r="VP125" s="36"/>
      <c r="VQ125" s="36"/>
      <c r="VR125" s="36"/>
      <c r="VS125" s="36"/>
      <c r="VT125" s="36"/>
      <c r="VU125" s="36"/>
      <c r="VV125" s="36"/>
      <c r="VW125" s="36"/>
      <c r="VX125" s="36"/>
      <c r="VY125" s="36"/>
      <c r="VZ125" s="36"/>
      <c r="WA125" s="36"/>
      <c r="WB125" s="36"/>
      <c r="WC125" s="36"/>
      <c r="WD125" s="36"/>
      <c r="WE125" s="36"/>
      <c r="WF125" s="36"/>
      <c r="WG125" s="36"/>
      <c r="WH125" s="36"/>
      <c r="WI125" s="36"/>
      <c r="WJ125" s="36"/>
      <c r="WK125" s="36"/>
      <c r="WL125" s="36"/>
      <c r="WM125" s="36"/>
      <c r="WN125" s="36"/>
      <c r="WO125" s="36"/>
      <c r="WP125" s="36"/>
      <c r="WQ125" s="36"/>
      <c r="WR125" s="36"/>
      <c r="WS125" s="36"/>
      <c r="WT125" s="36"/>
      <c r="WU125" s="36"/>
      <c r="WV125" s="36"/>
      <c r="WW125" s="36"/>
      <c r="WX125" s="36"/>
      <c r="WY125" s="36"/>
    </row>
    <row r="126" spans="1:623" x14ac:dyDescent="0.3">
      <c r="A126" s="46"/>
      <c r="B126" s="46" t="s">
        <v>228</v>
      </c>
      <c r="D126" s="59"/>
      <c r="G126" s="61"/>
      <c r="I126" s="44"/>
      <c r="J126" s="45"/>
      <c r="K126" s="36"/>
      <c r="L126" s="36" t="s">
        <v>225</v>
      </c>
      <c r="N126" s="45"/>
      <c r="O126" s="10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6"/>
      <c r="HO126" s="36"/>
      <c r="HP126" s="36"/>
      <c r="HQ126" s="36"/>
      <c r="HR126" s="36"/>
      <c r="HS126" s="36"/>
      <c r="HT126" s="36"/>
      <c r="HU126" s="36"/>
      <c r="HV126" s="36"/>
      <c r="HW126" s="36"/>
      <c r="HX126" s="36"/>
      <c r="HY126" s="36"/>
      <c r="HZ126" s="36"/>
      <c r="IA126" s="36"/>
      <c r="IB126" s="36"/>
      <c r="IC126" s="36"/>
      <c r="ID126" s="36"/>
      <c r="IE126" s="36"/>
      <c r="IF126" s="36"/>
      <c r="IG126" s="36"/>
      <c r="IH126" s="36"/>
      <c r="II126" s="36"/>
      <c r="IJ126" s="36"/>
      <c r="IK126" s="36"/>
      <c r="IL126" s="36"/>
      <c r="IM126" s="36"/>
      <c r="IN126" s="36"/>
      <c r="IO126" s="36"/>
      <c r="IP126" s="36"/>
      <c r="IQ126" s="36"/>
      <c r="IR126" s="36"/>
      <c r="IS126" s="36"/>
      <c r="IT126" s="36"/>
      <c r="IU126" s="36"/>
      <c r="IV126" s="36"/>
      <c r="IW126" s="36"/>
      <c r="IX126" s="36"/>
      <c r="IY126" s="36"/>
      <c r="IZ126" s="36"/>
      <c r="JA126" s="36"/>
      <c r="JB126" s="36"/>
      <c r="JC126" s="36"/>
      <c r="JD126" s="36"/>
      <c r="JE126" s="36"/>
      <c r="JF126" s="36"/>
      <c r="JG126" s="36"/>
      <c r="JH126" s="36"/>
      <c r="JI126" s="36"/>
      <c r="JJ126" s="36"/>
      <c r="JK126" s="36"/>
      <c r="JL126" s="36"/>
      <c r="JM126" s="36"/>
      <c r="JN126" s="36"/>
      <c r="JO126" s="36"/>
      <c r="JP126" s="36"/>
      <c r="JQ126" s="36"/>
      <c r="JR126" s="36"/>
      <c r="JS126" s="36"/>
      <c r="JT126" s="36"/>
      <c r="JU126" s="36"/>
      <c r="JV126" s="36"/>
      <c r="JW126" s="36"/>
      <c r="JX126" s="36"/>
      <c r="JY126" s="36"/>
      <c r="JZ126" s="36"/>
      <c r="KA126" s="36"/>
      <c r="KB126" s="36"/>
      <c r="KC126" s="36"/>
      <c r="KD126" s="36"/>
      <c r="KE126" s="36"/>
      <c r="KF126" s="36"/>
      <c r="KG126" s="36"/>
      <c r="KH126" s="36"/>
      <c r="KI126" s="36"/>
      <c r="KJ126" s="36"/>
      <c r="KK126" s="36"/>
      <c r="KL126" s="36"/>
      <c r="KM126" s="36"/>
      <c r="KN126" s="36"/>
      <c r="KO126" s="36"/>
      <c r="KP126" s="36"/>
      <c r="KQ126" s="36"/>
      <c r="KR126" s="36"/>
      <c r="KS126" s="36"/>
      <c r="KT126" s="36"/>
      <c r="KU126" s="36"/>
      <c r="KV126" s="36"/>
      <c r="KW126" s="36"/>
      <c r="KX126" s="36"/>
      <c r="KY126" s="36"/>
      <c r="KZ126" s="36"/>
      <c r="LA126" s="36"/>
      <c r="LB126" s="36"/>
      <c r="LC126" s="36"/>
      <c r="LD126" s="36"/>
      <c r="LE126" s="36"/>
      <c r="LF126" s="36"/>
      <c r="LG126" s="36"/>
      <c r="LH126" s="36"/>
      <c r="LI126" s="36"/>
      <c r="LJ126" s="36"/>
      <c r="LK126" s="36"/>
      <c r="LL126" s="36"/>
      <c r="LM126" s="36"/>
      <c r="LN126" s="36"/>
      <c r="LO126" s="36"/>
      <c r="LP126" s="36"/>
      <c r="LQ126" s="36"/>
      <c r="LR126" s="36"/>
      <c r="LS126" s="36"/>
      <c r="LT126" s="36"/>
      <c r="LU126" s="36"/>
      <c r="LV126" s="36"/>
      <c r="LW126" s="36"/>
      <c r="LX126" s="36"/>
      <c r="LY126" s="36"/>
      <c r="LZ126" s="36"/>
      <c r="MA126" s="36"/>
      <c r="MB126" s="36"/>
      <c r="MC126" s="36"/>
      <c r="MD126" s="36"/>
      <c r="ME126" s="36"/>
      <c r="MF126" s="36"/>
      <c r="MG126" s="36"/>
      <c r="MH126" s="36"/>
      <c r="MI126" s="36"/>
      <c r="MJ126" s="36"/>
      <c r="MK126" s="36"/>
      <c r="ML126" s="36"/>
      <c r="MM126" s="36"/>
      <c r="MN126" s="36"/>
      <c r="MO126" s="36"/>
      <c r="MP126" s="36"/>
      <c r="MQ126" s="36"/>
      <c r="MR126" s="36"/>
      <c r="MS126" s="36"/>
      <c r="MT126" s="36"/>
      <c r="MU126" s="36"/>
      <c r="MV126" s="36"/>
      <c r="MW126" s="36"/>
      <c r="MX126" s="36"/>
      <c r="MY126" s="36"/>
      <c r="MZ126" s="36"/>
      <c r="NA126" s="36"/>
      <c r="NB126" s="36"/>
      <c r="NC126" s="36"/>
      <c r="ND126" s="36"/>
      <c r="NE126" s="36"/>
      <c r="NF126" s="36"/>
      <c r="NG126" s="36"/>
      <c r="NH126" s="36"/>
      <c r="NI126" s="36"/>
      <c r="NJ126" s="36"/>
      <c r="NK126" s="36"/>
      <c r="NL126" s="36"/>
      <c r="NM126" s="36"/>
      <c r="NN126" s="36"/>
      <c r="NO126" s="36"/>
      <c r="NP126" s="36"/>
      <c r="NQ126" s="36"/>
      <c r="NR126" s="36"/>
      <c r="NS126" s="36"/>
      <c r="NT126" s="36"/>
      <c r="NU126" s="36"/>
      <c r="NV126" s="36"/>
      <c r="NW126" s="36"/>
      <c r="NX126" s="36"/>
      <c r="NY126" s="36"/>
      <c r="NZ126" s="36"/>
      <c r="OA126" s="36"/>
      <c r="OB126" s="36"/>
      <c r="OC126" s="36"/>
      <c r="OD126" s="36"/>
      <c r="OE126" s="36"/>
      <c r="OF126" s="36"/>
      <c r="OG126" s="36"/>
      <c r="OH126" s="36"/>
      <c r="OI126" s="36"/>
      <c r="OJ126" s="36"/>
      <c r="OK126" s="36"/>
      <c r="OL126" s="36"/>
      <c r="OM126" s="36"/>
      <c r="ON126" s="36"/>
      <c r="OO126" s="36"/>
      <c r="OP126" s="36"/>
      <c r="OQ126" s="36"/>
      <c r="OR126" s="36"/>
      <c r="OS126" s="36"/>
      <c r="OT126" s="36"/>
      <c r="OU126" s="36"/>
      <c r="OV126" s="36"/>
      <c r="OW126" s="36"/>
      <c r="OX126" s="36"/>
      <c r="OY126" s="36"/>
      <c r="OZ126" s="36"/>
      <c r="PA126" s="36"/>
      <c r="PB126" s="36"/>
      <c r="PC126" s="36"/>
      <c r="PD126" s="36"/>
      <c r="PE126" s="36"/>
      <c r="PF126" s="36"/>
      <c r="PG126" s="36"/>
      <c r="PH126" s="36"/>
      <c r="PI126" s="36"/>
      <c r="PJ126" s="36"/>
      <c r="PK126" s="36"/>
      <c r="PL126" s="36"/>
      <c r="PM126" s="36"/>
      <c r="PN126" s="36"/>
      <c r="PO126" s="36"/>
      <c r="PP126" s="36"/>
      <c r="PQ126" s="36"/>
      <c r="PR126" s="36"/>
      <c r="PS126" s="36"/>
      <c r="PT126" s="36"/>
      <c r="PU126" s="36"/>
      <c r="PV126" s="36"/>
      <c r="PW126" s="36"/>
      <c r="PX126" s="36"/>
      <c r="PY126" s="36"/>
      <c r="PZ126" s="36"/>
      <c r="QA126" s="36"/>
      <c r="QB126" s="36"/>
      <c r="QC126" s="36"/>
      <c r="QD126" s="36"/>
      <c r="QE126" s="36"/>
      <c r="QF126" s="36"/>
      <c r="QG126" s="36"/>
      <c r="QH126" s="36"/>
      <c r="QI126" s="36"/>
      <c r="QJ126" s="36"/>
      <c r="QK126" s="36"/>
      <c r="QL126" s="36"/>
      <c r="QM126" s="36"/>
      <c r="QN126" s="36"/>
      <c r="QO126" s="36"/>
      <c r="QP126" s="36"/>
      <c r="QQ126" s="36"/>
      <c r="QR126" s="36"/>
      <c r="QS126" s="36"/>
      <c r="QT126" s="36"/>
      <c r="QU126" s="36"/>
      <c r="QV126" s="36"/>
      <c r="QW126" s="36"/>
      <c r="QX126" s="36"/>
      <c r="QY126" s="36"/>
      <c r="QZ126" s="36"/>
      <c r="RA126" s="36"/>
      <c r="RB126" s="36"/>
      <c r="RC126" s="36"/>
      <c r="RD126" s="36"/>
      <c r="RE126" s="36"/>
      <c r="RF126" s="36"/>
      <c r="RG126" s="36"/>
      <c r="RH126" s="36"/>
      <c r="RI126" s="36"/>
      <c r="RJ126" s="36"/>
      <c r="RK126" s="36"/>
      <c r="RL126" s="36"/>
      <c r="RM126" s="36"/>
      <c r="RN126" s="36"/>
      <c r="RO126" s="36"/>
      <c r="RP126" s="36"/>
      <c r="RQ126" s="36"/>
      <c r="RR126" s="36"/>
      <c r="RS126" s="36"/>
      <c r="RT126" s="36"/>
      <c r="RU126" s="36"/>
      <c r="RV126" s="36"/>
      <c r="RW126" s="36"/>
      <c r="RX126" s="36"/>
      <c r="RY126" s="36"/>
      <c r="RZ126" s="36"/>
      <c r="SA126" s="36"/>
      <c r="SB126" s="36"/>
      <c r="SC126" s="36"/>
      <c r="SD126" s="36"/>
      <c r="SE126" s="36"/>
      <c r="SF126" s="36"/>
      <c r="SG126" s="36"/>
      <c r="SH126" s="36"/>
      <c r="SI126" s="36"/>
      <c r="SJ126" s="36"/>
      <c r="SK126" s="36"/>
      <c r="SL126" s="36"/>
      <c r="SM126" s="36"/>
      <c r="SN126" s="36"/>
      <c r="SO126" s="36"/>
      <c r="SP126" s="36"/>
      <c r="SQ126" s="36"/>
      <c r="SR126" s="36"/>
      <c r="SS126" s="36"/>
      <c r="ST126" s="36"/>
      <c r="SU126" s="36"/>
      <c r="SV126" s="36"/>
      <c r="SW126" s="36"/>
      <c r="SX126" s="36"/>
      <c r="SY126" s="36"/>
      <c r="SZ126" s="36"/>
      <c r="TA126" s="36"/>
      <c r="TB126" s="36"/>
      <c r="TC126" s="36"/>
      <c r="TD126" s="36"/>
      <c r="TE126" s="36"/>
      <c r="TF126" s="36"/>
      <c r="TG126" s="36"/>
      <c r="TH126" s="36"/>
      <c r="TI126" s="36"/>
      <c r="TJ126" s="36"/>
      <c r="TK126" s="36"/>
      <c r="TL126" s="36"/>
      <c r="TM126" s="36"/>
      <c r="TN126" s="36"/>
      <c r="TO126" s="36"/>
      <c r="TP126" s="36"/>
      <c r="TQ126" s="36"/>
      <c r="TR126" s="36"/>
      <c r="TS126" s="36"/>
      <c r="TT126" s="36"/>
      <c r="TU126" s="36"/>
      <c r="TV126" s="36"/>
      <c r="TW126" s="36"/>
      <c r="TX126" s="36"/>
      <c r="TY126" s="36"/>
      <c r="TZ126" s="36"/>
      <c r="UA126" s="36"/>
      <c r="UB126" s="36"/>
      <c r="UC126" s="36"/>
      <c r="UD126" s="36"/>
      <c r="UE126" s="36"/>
      <c r="UF126" s="36"/>
      <c r="UG126" s="36"/>
      <c r="UH126" s="36"/>
      <c r="UI126" s="36"/>
      <c r="UJ126" s="36"/>
      <c r="UK126" s="36"/>
      <c r="UL126" s="36"/>
      <c r="UM126" s="36"/>
      <c r="UN126" s="36"/>
      <c r="UO126" s="36"/>
      <c r="UP126" s="36"/>
      <c r="UQ126" s="36"/>
      <c r="UR126" s="36"/>
      <c r="US126" s="36"/>
      <c r="UT126" s="36"/>
      <c r="UU126" s="36"/>
      <c r="UV126" s="36"/>
      <c r="UW126" s="36"/>
      <c r="UX126" s="36"/>
      <c r="UY126" s="36"/>
      <c r="UZ126" s="36"/>
      <c r="VA126" s="36"/>
      <c r="VB126" s="36"/>
      <c r="VC126" s="36"/>
      <c r="VD126" s="36"/>
      <c r="VE126" s="36"/>
      <c r="VF126" s="36"/>
      <c r="VG126" s="36"/>
      <c r="VH126" s="36"/>
      <c r="VI126" s="36"/>
      <c r="VJ126" s="36"/>
      <c r="VK126" s="36"/>
      <c r="VL126" s="36"/>
      <c r="VM126" s="36"/>
      <c r="VN126" s="36"/>
      <c r="VO126" s="36"/>
      <c r="VP126" s="36"/>
      <c r="VQ126" s="36"/>
      <c r="VR126" s="36"/>
      <c r="VS126" s="36"/>
      <c r="VT126" s="36"/>
      <c r="VU126" s="36"/>
      <c r="VV126" s="36"/>
      <c r="VW126" s="36"/>
      <c r="VX126" s="36"/>
      <c r="VY126" s="36"/>
      <c r="VZ126" s="36"/>
      <c r="WA126" s="36"/>
      <c r="WB126" s="36"/>
      <c r="WC126" s="36"/>
      <c r="WD126" s="36"/>
      <c r="WE126" s="36"/>
      <c r="WF126" s="36"/>
      <c r="WG126" s="36"/>
      <c r="WH126" s="36"/>
      <c r="WI126" s="36"/>
      <c r="WJ126" s="36"/>
      <c r="WK126" s="36"/>
      <c r="WL126" s="36"/>
      <c r="WM126" s="36"/>
      <c r="WN126" s="36"/>
      <c r="WO126" s="36"/>
      <c r="WP126" s="36"/>
      <c r="WQ126" s="36"/>
      <c r="WR126" s="36"/>
      <c r="WS126" s="36"/>
      <c r="WT126" s="36"/>
      <c r="WU126" s="36"/>
      <c r="WV126" s="36"/>
      <c r="WW126" s="36"/>
      <c r="WX126" s="36"/>
      <c r="WY126" s="36"/>
    </row>
    <row r="127" spans="1:623" x14ac:dyDescent="0.3">
      <c r="A127" s="46"/>
      <c r="B127" s="46" t="s">
        <v>229</v>
      </c>
      <c r="D127" s="59"/>
      <c r="G127" s="61"/>
      <c r="I127" s="44"/>
      <c r="J127" s="45"/>
      <c r="K127" s="36"/>
      <c r="L127" s="36"/>
      <c r="N127" s="45"/>
      <c r="O127" s="10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  <c r="HL127" s="36"/>
      <c r="HM127" s="36"/>
      <c r="HN127" s="36"/>
      <c r="HO127" s="36"/>
      <c r="HP127" s="36"/>
      <c r="HQ127" s="36"/>
      <c r="HR127" s="36"/>
      <c r="HS127" s="36"/>
      <c r="HT127" s="36"/>
      <c r="HU127" s="36"/>
      <c r="HV127" s="36"/>
      <c r="HW127" s="36"/>
      <c r="HX127" s="36"/>
      <c r="HY127" s="36"/>
      <c r="HZ127" s="36"/>
      <c r="IA127" s="36"/>
      <c r="IB127" s="36"/>
      <c r="IC127" s="36"/>
      <c r="ID127" s="36"/>
      <c r="IE127" s="36"/>
      <c r="IF127" s="36"/>
      <c r="IG127" s="36"/>
      <c r="IH127" s="36"/>
      <c r="II127" s="36"/>
      <c r="IJ127" s="36"/>
      <c r="IK127" s="36"/>
      <c r="IL127" s="36"/>
      <c r="IM127" s="36"/>
      <c r="IN127" s="36"/>
      <c r="IO127" s="36"/>
      <c r="IP127" s="36"/>
      <c r="IQ127" s="36"/>
      <c r="IR127" s="36"/>
      <c r="IS127" s="36"/>
      <c r="IT127" s="36"/>
      <c r="IU127" s="36"/>
      <c r="IV127" s="36"/>
      <c r="IW127" s="36"/>
      <c r="IX127" s="36"/>
      <c r="IY127" s="36"/>
      <c r="IZ127" s="36"/>
      <c r="JA127" s="36"/>
      <c r="JB127" s="36"/>
      <c r="JC127" s="36"/>
      <c r="JD127" s="36"/>
      <c r="JE127" s="36"/>
      <c r="JF127" s="36"/>
      <c r="JG127" s="36"/>
      <c r="JH127" s="36"/>
      <c r="JI127" s="36"/>
      <c r="JJ127" s="36"/>
      <c r="JK127" s="36"/>
      <c r="JL127" s="36"/>
      <c r="JM127" s="36"/>
      <c r="JN127" s="36"/>
      <c r="JO127" s="36"/>
      <c r="JP127" s="36"/>
      <c r="JQ127" s="36"/>
      <c r="JR127" s="36"/>
      <c r="JS127" s="36"/>
      <c r="JT127" s="36"/>
      <c r="JU127" s="36"/>
      <c r="JV127" s="36"/>
      <c r="JW127" s="36"/>
      <c r="JX127" s="36"/>
      <c r="JY127" s="36"/>
      <c r="JZ127" s="36"/>
      <c r="KA127" s="36"/>
      <c r="KB127" s="36"/>
      <c r="KC127" s="36"/>
      <c r="KD127" s="36"/>
      <c r="KE127" s="36"/>
      <c r="KF127" s="36"/>
      <c r="KG127" s="36"/>
      <c r="KH127" s="36"/>
      <c r="KI127" s="36"/>
      <c r="KJ127" s="36"/>
      <c r="KK127" s="36"/>
      <c r="KL127" s="36"/>
      <c r="KM127" s="36"/>
      <c r="KN127" s="36"/>
      <c r="KO127" s="36"/>
      <c r="KP127" s="36"/>
      <c r="KQ127" s="36"/>
      <c r="KR127" s="36"/>
      <c r="KS127" s="36"/>
      <c r="KT127" s="36"/>
      <c r="KU127" s="36"/>
      <c r="KV127" s="36"/>
      <c r="KW127" s="36"/>
      <c r="KX127" s="36"/>
      <c r="KY127" s="36"/>
      <c r="KZ127" s="36"/>
      <c r="LA127" s="36"/>
      <c r="LB127" s="36"/>
      <c r="LC127" s="36"/>
      <c r="LD127" s="36"/>
      <c r="LE127" s="36"/>
      <c r="LF127" s="36"/>
      <c r="LG127" s="36"/>
      <c r="LH127" s="36"/>
      <c r="LI127" s="36"/>
      <c r="LJ127" s="36"/>
      <c r="LK127" s="36"/>
      <c r="LL127" s="36"/>
      <c r="LM127" s="36"/>
      <c r="LN127" s="36"/>
      <c r="LO127" s="36"/>
      <c r="LP127" s="36"/>
      <c r="LQ127" s="36"/>
      <c r="LR127" s="36"/>
      <c r="LS127" s="36"/>
      <c r="LT127" s="36"/>
      <c r="LU127" s="36"/>
      <c r="LV127" s="36"/>
      <c r="LW127" s="36"/>
      <c r="LX127" s="36"/>
      <c r="LY127" s="36"/>
      <c r="LZ127" s="36"/>
      <c r="MA127" s="36"/>
      <c r="MB127" s="36"/>
      <c r="MC127" s="36"/>
      <c r="MD127" s="36"/>
      <c r="ME127" s="36"/>
      <c r="MF127" s="36"/>
      <c r="MG127" s="36"/>
      <c r="MH127" s="36"/>
      <c r="MI127" s="36"/>
      <c r="MJ127" s="36"/>
      <c r="MK127" s="36"/>
      <c r="ML127" s="36"/>
      <c r="MM127" s="36"/>
      <c r="MN127" s="36"/>
      <c r="MO127" s="36"/>
      <c r="MP127" s="36"/>
      <c r="MQ127" s="36"/>
      <c r="MR127" s="36"/>
      <c r="MS127" s="36"/>
      <c r="MT127" s="36"/>
      <c r="MU127" s="36"/>
      <c r="MV127" s="36"/>
      <c r="MW127" s="36"/>
      <c r="MX127" s="36"/>
      <c r="MY127" s="36"/>
      <c r="MZ127" s="36"/>
      <c r="NA127" s="36"/>
      <c r="NB127" s="36"/>
      <c r="NC127" s="36"/>
      <c r="ND127" s="36"/>
      <c r="NE127" s="36"/>
      <c r="NF127" s="36"/>
      <c r="NG127" s="36"/>
      <c r="NH127" s="36"/>
      <c r="NI127" s="36"/>
      <c r="NJ127" s="36"/>
      <c r="NK127" s="36"/>
      <c r="NL127" s="36"/>
      <c r="NM127" s="36"/>
      <c r="NN127" s="36"/>
      <c r="NO127" s="36"/>
      <c r="NP127" s="36"/>
      <c r="NQ127" s="36"/>
      <c r="NR127" s="36"/>
      <c r="NS127" s="36"/>
      <c r="NT127" s="36"/>
      <c r="NU127" s="36"/>
      <c r="NV127" s="36"/>
      <c r="NW127" s="36"/>
      <c r="NX127" s="36"/>
      <c r="NY127" s="36"/>
      <c r="NZ127" s="36"/>
      <c r="OA127" s="36"/>
      <c r="OB127" s="36"/>
      <c r="OC127" s="36"/>
      <c r="OD127" s="36"/>
      <c r="OE127" s="36"/>
      <c r="OF127" s="36"/>
      <c r="OG127" s="36"/>
      <c r="OH127" s="36"/>
      <c r="OI127" s="36"/>
      <c r="OJ127" s="36"/>
      <c r="OK127" s="36"/>
      <c r="OL127" s="36"/>
      <c r="OM127" s="36"/>
      <c r="ON127" s="36"/>
      <c r="OO127" s="36"/>
      <c r="OP127" s="36"/>
      <c r="OQ127" s="36"/>
      <c r="OR127" s="36"/>
      <c r="OS127" s="36"/>
      <c r="OT127" s="36"/>
      <c r="OU127" s="36"/>
      <c r="OV127" s="36"/>
      <c r="OW127" s="36"/>
      <c r="OX127" s="36"/>
      <c r="OY127" s="36"/>
      <c r="OZ127" s="36"/>
      <c r="PA127" s="36"/>
      <c r="PB127" s="36"/>
      <c r="PC127" s="36"/>
      <c r="PD127" s="36"/>
      <c r="PE127" s="36"/>
      <c r="PF127" s="36"/>
      <c r="PG127" s="36"/>
      <c r="PH127" s="36"/>
      <c r="PI127" s="36"/>
      <c r="PJ127" s="36"/>
      <c r="PK127" s="36"/>
      <c r="PL127" s="36"/>
      <c r="PM127" s="36"/>
      <c r="PN127" s="36"/>
      <c r="PO127" s="36"/>
      <c r="PP127" s="36"/>
      <c r="PQ127" s="36"/>
      <c r="PR127" s="36"/>
      <c r="PS127" s="36"/>
      <c r="PT127" s="36"/>
      <c r="PU127" s="36"/>
      <c r="PV127" s="36"/>
      <c r="PW127" s="36"/>
      <c r="PX127" s="36"/>
      <c r="PY127" s="36"/>
      <c r="PZ127" s="36"/>
      <c r="QA127" s="36"/>
      <c r="QB127" s="36"/>
      <c r="QC127" s="36"/>
      <c r="QD127" s="36"/>
      <c r="QE127" s="36"/>
      <c r="QF127" s="36"/>
      <c r="QG127" s="36"/>
      <c r="QH127" s="36"/>
      <c r="QI127" s="36"/>
      <c r="QJ127" s="36"/>
      <c r="QK127" s="36"/>
      <c r="QL127" s="36"/>
      <c r="QM127" s="36"/>
      <c r="QN127" s="36"/>
      <c r="QO127" s="36"/>
      <c r="QP127" s="36"/>
      <c r="QQ127" s="36"/>
      <c r="QR127" s="36"/>
      <c r="QS127" s="36"/>
      <c r="QT127" s="36"/>
      <c r="QU127" s="36"/>
      <c r="QV127" s="36"/>
      <c r="QW127" s="36"/>
      <c r="QX127" s="36"/>
      <c r="QY127" s="36"/>
      <c r="QZ127" s="36"/>
      <c r="RA127" s="36"/>
      <c r="RB127" s="36"/>
      <c r="RC127" s="36"/>
      <c r="RD127" s="36"/>
      <c r="RE127" s="36"/>
      <c r="RF127" s="36"/>
      <c r="RG127" s="36"/>
      <c r="RH127" s="36"/>
      <c r="RI127" s="36"/>
      <c r="RJ127" s="36"/>
      <c r="RK127" s="36"/>
      <c r="RL127" s="36"/>
      <c r="RM127" s="36"/>
      <c r="RN127" s="36"/>
      <c r="RO127" s="36"/>
      <c r="RP127" s="36"/>
      <c r="RQ127" s="36"/>
      <c r="RR127" s="36"/>
      <c r="RS127" s="36"/>
      <c r="RT127" s="36"/>
      <c r="RU127" s="36"/>
      <c r="RV127" s="36"/>
      <c r="RW127" s="36"/>
      <c r="RX127" s="36"/>
      <c r="RY127" s="36"/>
      <c r="RZ127" s="36"/>
      <c r="SA127" s="36"/>
      <c r="SB127" s="36"/>
      <c r="SC127" s="36"/>
      <c r="SD127" s="36"/>
      <c r="SE127" s="36"/>
      <c r="SF127" s="36"/>
      <c r="SG127" s="36"/>
      <c r="SH127" s="36"/>
      <c r="SI127" s="36"/>
      <c r="SJ127" s="36"/>
      <c r="SK127" s="36"/>
      <c r="SL127" s="36"/>
      <c r="SM127" s="36"/>
      <c r="SN127" s="36"/>
      <c r="SO127" s="36"/>
      <c r="SP127" s="36"/>
      <c r="SQ127" s="36"/>
      <c r="SR127" s="36"/>
      <c r="SS127" s="36"/>
      <c r="ST127" s="36"/>
      <c r="SU127" s="36"/>
      <c r="SV127" s="36"/>
      <c r="SW127" s="36"/>
      <c r="SX127" s="36"/>
      <c r="SY127" s="36"/>
      <c r="SZ127" s="36"/>
      <c r="TA127" s="36"/>
      <c r="TB127" s="36"/>
      <c r="TC127" s="36"/>
      <c r="TD127" s="36"/>
      <c r="TE127" s="36"/>
      <c r="TF127" s="36"/>
      <c r="TG127" s="36"/>
      <c r="TH127" s="36"/>
      <c r="TI127" s="36"/>
      <c r="TJ127" s="36"/>
      <c r="TK127" s="36"/>
      <c r="TL127" s="36"/>
      <c r="TM127" s="36"/>
      <c r="TN127" s="36"/>
      <c r="TO127" s="36"/>
      <c r="TP127" s="36"/>
      <c r="TQ127" s="36"/>
      <c r="TR127" s="36"/>
      <c r="TS127" s="36"/>
      <c r="TT127" s="36"/>
      <c r="TU127" s="36"/>
      <c r="TV127" s="36"/>
      <c r="TW127" s="36"/>
      <c r="TX127" s="36"/>
      <c r="TY127" s="36"/>
      <c r="TZ127" s="36"/>
      <c r="UA127" s="36"/>
      <c r="UB127" s="36"/>
      <c r="UC127" s="36"/>
      <c r="UD127" s="36"/>
      <c r="UE127" s="36"/>
      <c r="UF127" s="36"/>
      <c r="UG127" s="36"/>
      <c r="UH127" s="36"/>
      <c r="UI127" s="36"/>
      <c r="UJ127" s="36"/>
      <c r="UK127" s="36"/>
      <c r="UL127" s="36"/>
      <c r="UM127" s="36"/>
      <c r="UN127" s="36"/>
      <c r="UO127" s="36"/>
      <c r="UP127" s="36"/>
      <c r="UQ127" s="36"/>
      <c r="UR127" s="36"/>
      <c r="US127" s="36"/>
      <c r="UT127" s="36"/>
      <c r="UU127" s="36"/>
      <c r="UV127" s="36"/>
      <c r="UW127" s="36"/>
      <c r="UX127" s="36"/>
      <c r="UY127" s="36"/>
      <c r="UZ127" s="36"/>
      <c r="VA127" s="36"/>
      <c r="VB127" s="36"/>
      <c r="VC127" s="36"/>
      <c r="VD127" s="36"/>
      <c r="VE127" s="36"/>
      <c r="VF127" s="36"/>
      <c r="VG127" s="36"/>
      <c r="VH127" s="36"/>
      <c r="VI127" s="36"/>
      <c r="VJ127" s="36"/>
      <c r="VK127" s="36"/>
      <c r="VL127" s="36"/>
      <c r="VM127" s="36"/>
      <c r="VN127" s="36"/>
      <c r="VO127" s="36"/>
      <c r="VP127" s="36"/>
      <c r="VQ127" s="36"/>
      <c r="VR127" s="36"/>
      <c r="VS127" s="36"/>
      <c r="VT127" s="36"/>
      <c r="VU127" s="36"/>
      <c r="VV127" s="36"/>
      <c r="VW127" s="36"/>
      <c r="VX127" s="36"/>
      <c r="VY127" s="36"/>
      <c r="VZ127" s="36"/>
      <c r="WA127" s="36"/>
      <c r="WB127" s="36"/>
      <c r="WC127" s="36"/>
      <c r="WD127" s="36"/>
      <c r="WE127" s="36"/>
      <c r="WF127" s="36"/>
      <c r="WG127" s="36"/>
      <c r="WH127" s="36"/>
      <c r="WI127" s="36"/>
      <c r="WJ127" s="36"/>
      <c r="WK127" s="36"/>
      <c r="WL127" s="36"/>
      <c r="WM127" s="36"/>
      <c r="WN127" s="36"/>
      <c r="WO127" s="36"/>
      <c r="WP127" s="36"/>
      <c r="WQ127" s="36"/>
      <c r="WR127" s="36"/>
      <c r="WS127" s="36"/>
      <c r="WT127" s="36"/>
      <c r="WU127" s="36"/>
      <c r="WV127" s="36"/>
      <c r="WW127" s="36"/>
      <c r="WX127" s="36"/>
      <c r="WY127" s="36"/>
    </row>
    <row r="128" spans="1:623" x14ac:dyDescent="0.3">
      <c r="A128" s="46"/>
      <c r="B128" s="46" t="s">
        <v>230</v>
      </c>
      <c r="D128" s="59"/>
      <c r="G128" s="61"/>
      <c r="I128" s="44"/>
      <c r="J128" s="45"/>
      <c r="K128" s="36"/>
      <c r="L128" s="36"/>
      <c r="N128" s="45"/>
      <c r="O128" s="10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6"/>
      <c r="GE128" s="36"/>
      <c r="GF128" s="36"/>
      <c r="GG128" s="36"/>
      <c r="GH128" s="36"/>
      <c r="GI128" s="36"/>
      <c r="GJ128" s="36"/>
      <c r="GK128" s="36"/>
      <c r="GL128" s="36"/>
      <c r="GM128" s="36"/>
      <c r="GN128" s="36"/>
      <c r="GO128" s="36"/>
      <c r="GP128" s="36"/>
      <c r="GQ128" s="36"/>
      <c r="GR128" s="36"/>
      <c r="GS128" s="36"/>
      <c r="GT128" s="36"/>
      <c r="GU128" s="36"/>
      <c r="GV128" s="36"/>
      <c r="GW128" s="36"/>
      <c r="GX128" s="36"/>
      <c r="GY128" s="36"/>
      <c r="GZ128" s="36"/>
      <c r="HA128" s="36"/>
      <c r="HB128" s="36"/>
      <c r="HC128" s="36"/>
      <c r="HD128" s="36"/>
      <c r="HE128" s="36"/>
      <c r="HF128" s="36"/>
      <c r="HG128" s="36"/>
      <c r="HH128" s="36"/>
      <c r="HI128" s="36"/>
      <c r="HJ128" s="36"/>
      <c r="HK128" s="36"/>
      <c r="HL128" s="36"/>
      <c r="HM128" s="36"/>
      <c r="HN128" s="36"/>
      <c r="HO128" s="36"/>
      <c r="HP128" s="36"/>
      <c r="HQ128" s="36"/>
      <c r="HR128" s="36"/>
      <c r="HS128" s="36"/>
      <c r="HT128" s="36"/>
      <c r="HU128" s="36"/>
      <c r="HV128" s="36"/>
      <c r="HW128" s="36"/>
      <c r="HX128" s="36"/>
      <c r="HY128" s="36"/>
      <c r="HZ128" s="36"/>
      <c r="IA128" s="36"/>
      <c r="IB128" s="36"/>
      <c r="IC128" s="36"/>
      <c r="ID128" s="36"/>
      <c r="IE128" s="36"/>
      <c r="IF128" s="36"/>
      <c r="IG128" s="36"/>
      <c r="IH128" s="36"/>
      <c r="II128" s="36"/>
      <c r="IJ128" s="36"/>
      <c r="IK128" s="36"/>
      <c r="IL128" s="36"/>
      <c r="IM128" s="36"/>
      <c r="IN128" s="36"/>
      <c r="IO128" s="36"/>
      <c r="IP128" s="36"/>
      <c r="IQ128" s="36"/>
      <c r="IR128" s="36"/>
      <c r="IS128" s="36"/>
      <c r="IT128" s="36"/>
      <c r="IU128" s="36"/>
      <c r="IV128" s="36"/>
      <c r="IW128" s="36"/>
      <c r="IX128" s="36"/>
      <c r="IY128" s="36"/>
      <c r="IZ128" s="36"/>
      <c r="JA128" s="36"/>
      <c r="JB128" s="36"/>
      <c r="JC128" s="36"/>
      <c r="JD128" s="36"/>
      <c r="JE128" s="36"/>
      <c r="JF128" s="36"/>
      <c r="JG128" s="36"/>
      <c r="JH128" s="36"/>
      <c r="JI128" s="36"/>
      <c r="JJ128" s="36"/>
      <c r="JK128" s="36"/>
      <c r="JL128" s="36"/>
      <c r="JM128" s="36"/>
      <c r="JN128" s="36"/>
      <c r="JO128" s="36"/>
      <c r="JP128" s="36"/>
      <c r="JQ128" s="36"/>
      <c r="JR128" s="36"/>
      <c r="JS128" s="36"/>
      <c r="JT128" s="36"/>
      <c r="JU128" s="36"/>
      <c r="JV128" s="36"/>
      <c r="JW128" s="36"/>
      <c r="JX128" s="36"/>
      <c r="JY128" s="36"/>
      <c r="JZ128" s="36"/>
      <c r="KA128" s="36"/>
      <c r="KB128" s="36"/>
      <c r="KC128" s="36"/>
      <c r="KD128" s="36"/>
      <c r="KE128" s="36"/>
      <c r="KF128" s="36"/>
      <c r="KG128" s="36"/>
      <c r="KH128" s="36"/>
      <c r="KI128" s="36"/>
      <c r="KJ128" s="36"/>
      <c r="KK128" s="36"/>
      <c r="KL128" s="36"/>
      <c r="KM128" s="36"/>
      <c r="KN128" s="36"/>
      <c r="KO128" s="36"/>
      <c r="KP128" s="36"/>
      <c r="KQ128" s="36"/>
      <c r="KR128" s="36"/>
      <c r="KS128" s="36"/>
      <c r="KT128" s="36"/>
      <c r="KU128" s="36"/>
      <c r="KV128" s="36"/>
      <c r="KW128" s="36"/>
      <c r="KX128" s="36"/>
      <c r="KY128" s="36"/>
      <c r="KZ128" s="36"/>
      <c r="LA128" s="36"/>
      <c r="LB128" s="36"/>
      <c r="LC128" s="36"/>
      <c r="LD128" s="36"/>
      <c r="LE128" s="36"/>
      <c r="LF128" s="36"/>
      <c r="LG128" s="36"/>
      <c r="LH128" s="36"/>
      <c r="LI128" s="36"/>
      <c r="LJ128" s="36"/>
      <c r="LK128" s="36"/>
      <c r="LL128" s="36"/>
      <c r="LM128" s="36"/>
      <c r="LN128" s="36"/>
      <c r="LO128" s="36"/>
      <c r="LP128" s="36"/>
      <c r="LQ128" s="36"/>
      <c r="LR128" s="36"/>
      <c r="LS128" s="36"/>
      <c r="LT128" s="36"/>
      <c r="LU128" s="36"/>
      <c r="LV128" s="36"/>
      <c r="LW128" s="36"/>
      <c r="LX128" s="36"/>
      <c r="LY128" s="36"/>
      <c r="LZ128" s="36"/>
      <c r="MA128" s="36"/>
      <c r="MB128" s="36"/>
      <c r="MC128" s="36"/>
      <c r="MD128" s="36"/>
      <c r="ME128" s="36"/>
      <c r="MF128" s="36"/>
      <c r="MG128" s="36"/>
      <c r="MH128" s="36"/>
      <c r="MI128" s="36"/>
      <c r="MJ128" s="36"/>
      <c r="MK128" s="36"/>
      <c r="ML128" s="36"/>
      <c r="MM128" s="36"/>
      <c r="MN128" s="36"/>
      <c r="MO128" s="36"/>
      <c r="MP128" s="36"/>
      <c r="MQ128" s="36"/>
      <c r="MR128" s="36"/>
      <c r="MS128" s="36"/>
      <c r="MT128" s="36"/>
      <c r="MU128" s="36"/>
      <c r="MV128" s="36"/>
      <c r="MW128" s="36"/>
      <c r="MX128" s="36"/>
      <c r="MY128" s="36"/>
      <c r="MZ128" s="36"/>
      <c r="NA128" s="36"/>
      <c r="NB128" s="36"/>
      <c r="NC128" s="36"/>
      <c r="ND128" s="36"/>
      <c r="NE128" s="36"/>
      <c r="NF128" s="36"/>
      <c r="NG128" s="36"/>
      <c r="NH128" s="36"/>
      <c r="NI128" s="36"/>
      <c r="NJ128" s="36"/>
      <c r="NK128" s="36"/>
      <c r="NL128" s="36"/>
      <c r="NM128" s="36"/>
      <c r="NN128" s="36"/>
      <c r="NO128" s="36"/>
      <c r="NP128" s="36"/>
      <c r="NQ128" s="36"/>
      <c r="NR128" s="36"/>
      <c r="NS128" s="36"/>
      <c r="NT128" s="36"/>
      <c r="NU128" s="36"/>
      <c r="NV128" s="36"/>
      <c r="NW128" s="36"/>
      <c r="NX128" s="36"/>
      <c r="NY128" s="36"/>
      <c r="NZ128" s="36"/>
      <c r="OA128" s="36"/>
      <c r="OB128" s="36"/>
      <c r="OC128" s="36"/>
      <c r="OD128" s="36"/>
      <c r="OE128" s="36"/>
      <c r="OF128" s="36"/>
      <c r="OG128" s="36"/>
      <c r="OH128" s="36"/>
      <c r="OI128" s="36"/>
      <c r="OJ128" s="36"/>
      <c r="OK128" s="36"/>
      <c r="OL128" s="36"/>
      <c r="OM128" s="36"/>
      <c r="ON128" s="36"/>
      <c r="OO128" s="36"/>
      <c r="OP128" s="36"/>
      <c r="OQ128" s="36"/>
      <c r="OR128" s="36"/>
      <c r="OS128" s="36"/>
      <c r="OT128" s="36"/>
      <c r="OU128" s="36"/>
      <c r="OV128" s="36"/>
      <c r="OW128" s="36"/>
      <c r="OX128" s="36"/>
      <c r="OY128" s="36"/>
      <c r="OZ128" s="36"/>
      <c r="PA128" s="36"/>
      <c r="PB128" s="36"/>
      <c r="PC128" s="36"/>
      <c r="PD128" s="36"/>
      <c r="PE128" s="36"/>
      <c r="PF128" s="36"/>
      <c r="PG128" s="36"/>
      <c r="PH128" s="36"/>
      <c r="PI128" s="36"/>
      <c r="PJ128" s="36"/>
      <c r="PK128" s="36"/>
      <c r="PL128" s="36"/>
      <c r="PM128" s="36"/>
      <c r="PN128" s="36"/>
      <c r="PO128" s="36"/>
      <c r="PP128" s="36"/>
      <c r="PQ128" s="36"/>
      <c r="PR128" s="36"/>
      <c r="PS128" s="36"/>
      <c r="PT128" s="36"/>
      <c r="PU128" s="36"/>
      <c r="PV128" s="36"/>
      <c r="PW128" s="36"/>
      <c r="PX128" s="36"/>
      <c r="PY128" s="36"/>
      <c r="PZ128" s="36"/>
      <c r="QA128" s="36"/>
      <c r="QB128" s="36"/>
      <c r="QC128" s="36"/>
      <c r="QD128" s="36"/>
      <c r="QE128" s="36"/>
      <c r="QF128" s="36"/>
      <c r="QG128" s="36"/>
      <c r="QH128" s="36"/>
      <c r="QI128" s="36"/>
      <c r="QJ128" s="36"/>
      <c r="QK128" s="36"/>
      <c r="QL128" s="36"/>
      <c r="QM128" s="36"/>
      <c r="QN128" s="36"/>
      <c r="QO128" s="36"/>
      <c r="QP128" s="36"/>
      <c r="QQ128" s="36"/>
      <c r="QR128" s="36"/>
      <c r="QS128" s="36"/>
      <c r="QT128" s="36"/>
      <c r="QU128" s="36"/>
      <c r="QV128" s="36"/>
      <c r="QW128" s="36"/>
      <c r="QX128" s="36"/>
      <c r="QY128" s="36"/>
      <c r="QZ128" s="36"/>
      <c r="RA128" s="36"/>
      <c r="RB128" s="36"/>
      <c r="RC128" s="36"/>
      <c r="RD128" s="36"/>
      <c r="RE128" s="36"/>
      <c r="RF128" s="36"/>
      <c r="RG128" s="36"/>
      <c r="RH128" s="36"/>
      <c r="RI128" s="36"/>
      <c r="RJ128" s="36"/>
      <c r="RK128" s="36"/>
      <c r="RL128" s="36"/>
      <c r="RM128" s="36"/>
      <c r="RN128" s="36"/>
      <c r="RO128" s="36"/>
      <c r="RP128" s="36"/>
      <c r="RQ128" s="36"/>
      <c r="RR128" s="36"/>
      <c r="RS128" s="36"/>
      <c r="RT128" s="36"/>
      <c r="RU128" s="36"/>
      <c r="RV128" s="36"/>
      <c r="RW128" s="36"/>
      <c r="RX128" s="36"/>
      <c r="RY128" s="36"/>
      <c r="RZ128" s="36"/>
      <c r="SA128" s="36"/>
      <c r="SB128" s="36"/>
      <c r="SC128" s="36"/>
      <c r="SD128" s="36"/>
      <c r="SE128" s="36"/>
      <c r="SF128" s="36"/>
      <c r="SG128" s="36"/>
      <c r="SH128" s="36"/>
      <c r="SI128" s="36"/>
      <c r="SJ128" s="36"/>
      <c r="SK128" s="36"/>
      <c r="SL128" s="36"/>
      <c r="SM128" s="36"/>
      <c r="SN128" s="36"/>
      <c r="SO128" s="36"/>
      <c r="SP128" s="36"/>
      <c r="SQ128" s="36"/>
      <c r="SR128" s="36"/>
      <c r="SS128" s="36"/>
      <c r="ST128" s="36"/>
      <c r="SU128" s="36"/>
      <c r="SV128" s="36"/>
      <c r="SW128" s="36"/>
      <c r="SX128" s="36"/>
      <c r="SY128" s="36"/>
      <c r="SZ128" s="36"/>
      <c r="TA128" s="36"/>
      <c r="TB128" s="36"/>
      <c r="TC128" s="36"/>
      <c r="TD128" s="36"/>
      <c r="TE128" s="36"/>
      <c r="TF128" s="36"/>
      <c r="TG128" s="36"/>
      <c r="TH128" s="36"/>
      <c r="TI128" s="36"/>
      <c r="TJ128" s="36"/>
      <c r="TK128" s="36"/>
      <c r="TL128" s="36"/>
      <c r="TM128" s="36"/>
      <c r="TN128" s="36"/>
      <c r="TO128" s="36"/>
      <c r="TP128" s="36"/>
      <c r="TQ128" s="36"/>
      <c r="TR128" s="36"/>
      <c r="TS128" s="36"/>
      <c r="TT128" s="36"/>
      <c r="TU128" s="36"/>
      <c r="TV128" s="36"/>
      <c r="TW128" s="36"/>
      <c r="TX128" s="36"/>
      <c r="TY128" s="36"/>
      <c r="TZ128" s="36"/>
      <c r="UA128" s="36"/>
      <c r="UB128" s="36"/>
      <c r="UC128" s="36"/>
      <c r="UD128" s="36"/>
      <c r="UE128" s="36"/>
      <c r="UF128" s="36"/>
      <c r="UG128" s="36"/>
      <c r="UH128" s="36"/>
      <c r="UI128" s="36"/>
      <c r="UJ128" s="36"/>
      <c r="UK128" s="36"/>
      <c r="UL128" s="36"/>
      <c r="UM128" s="36"/>
      <c r="UN128" s="36"/>
      <c r="UO128" s="36"/>
      <c r="UP128" s="36"/>
      <c r="UQ128" s="36"/>
      <c r="UR128" s="36"/>
      <c r="US128" s="36"/>
      <c r="UT128" s="36"/>
      <c r="UU128" s="36"/>
      <c r="UV128" s="36"/>
      <c r="UW128" s="36"/>
      <c r="UX128" s="36"/>
      <c r="UY128" s="36"/>
      <c r="UZ128" s="36"/>
      <c r="VA128" s="36"/>
      <c r="VB128" s="36"/>
      <c r="VC128" s="36"/>
      <c r="VD128" s="36"/>
      <c r="VE128" s="36"/>
      <c r="VF128" s="36"/>
      <c r="VG128" s="36"/>
      <c r="VH128" s="36"/>
      <c r="VI128" s="36"/>
      <c r="VJ128" s="36"/>
      <c r="VK128" s="36"/>
      <c r="VL128" s="36"/>
      <c r="VM128" s="36"/>
      <c r="VN128" s="36"/>
      <c r="VO128" s="36"/>
      <c r="VP128" s="36"/>
      <c r="VQ128" s="36"/>
      <c r="VR128" s="36"/>
      <c r="VS128" s="36"/>
      <c r="VT128" s="36"/>
      <c r="VU128" s="36"/>
      <c r="VV128" s="36"/>
      <c r="VW128" s="36"/>
      <c r="VX128" s="36"/>
      <c r="VY128" s="36"/>
      <c r="VZ128" s="36"/>
      <c r="WA128" s="36"/>
      <c r="WB128" s="36"/>
      <c r="WC128" s="36"/>
      <c r="WD128" s="36"/>
      <c r="WE128" s="36"/>
      <c r="WF128" s="36"/>
      <c r="WG128" s="36"/>
      <c r="WH128" s="36"/>
      <c r="WI128" s="36"/>
      <c r="WJ128" s="36"/>
      <c r="WK128" s="36"/>
      <c r="WL128" s="36"/>
      <c r="WM128" s="36"/>
      <c r="WN128" s="36"/>
      <c r="WO128" s="36"/>
      <c r="WP128" s="36"/>
      <c r="WQ128" s="36"/>
      <c r="WR128" s="36"/>
      <c r="WS128" s="36"/>
      <c r="WT128" s="36"/>
      <c r="WU128" s="36"/>
      <c r="WV128" s="36"/>
      <c r="WW128" s="36"/>
      <c r="WX128" s="36"/>
      <c r="WY128" s="36"/>
    </row>
    <row r="129" spans="1:16" x14ac:dyDescent="0.3">
      <c r="A129" s="46"/>
      <c r="B129" s="3"/>
      <c r="D129" s="59"/>
      <c r="G129" s="61"/>
      <c r="I129" s="44"/>
      <c r="J129" s="45"/>
      <c r="N129" s="45"/>
      <c r="O129" s="106"/>
    </row>
    <row r="130" spans="1:16" ht="14.6" x14ac:dyDescent="0.4">
      <c r="A130" s="2"/>
      <c r="B130" s="1" t="s">
        <v>179</v>
      </c>
      <c r="D130" s="59"/>
      <c r="E130" s="41">
        <v>0.1</v>
      </c>
      <c r="G130" s="60">
        <v>0.1</v>
      </c>
      <c r="I130" s="44">
        <f>I120*G130</f>
        <v>4975.9562880000003</v>
      </c>
      <c r="J130" s="45">
        <f>J120*G130</f>
        <v>6846.6040389999998</v>
      </c>
      <c r="N130" s="45">
        <f>N120*G130</f>
        <v>6877.281532</v>
      </c>
      <c r="O130" s="116">
        <f t="shared" si="31"/>
        <v>8802.9203609600008</v>
      </c>
    </row>
    <row r="131" spans="1:16" x14ac:dyDescent="0.3">
      <c r="A131" s="2"/>
      <c r="B131" s="3" t="s">
        <v>231</v>
      </c>
      <c r="D131" s="59"/>
      <c r="G131" s="62"/>
      <c r="I131" s="16">
        <f>SUM(I120:I130)</f>
        <v>54735.519167999999</v>
      </c>
      <c r="J131" s="17">
        <f>SUM(J120:J130)</f>
        <v>75312.644428999993</v>
      </c>
      <c r="N131" s="17">
        <f>SUM(N120:N130)</f>
        <v>81470.096851999988</v>
      </c>
      <c r="O131" s="17">
        <f>SUM(O120:O130)</f>
        <v>104281.72397056001</v>
      </c>
    </row>
    <row r="132" spans="1:16" x14ac:dyDescent="0.3">
      <c r="A132" s="46"/>
      <c r="B132" s="3"/>
      <c r="D132" s="59"/>
      <c r="G132" s="62"/>
      <c r="I132" s="44"/>
      <c r="J132" s="45"/>
      <c r="K132" s="36"/>
      <c r="L132" s="36"/>
      <c r="N132" s="45"/>
      <c r="O132" s="106"/>
    </row>
    <row r="133" spans="1:16" x14ac:dyDescent="0.3">
      <c r="A133" s="2">
        <v>11</v>
      </c>
      <c r="B133" s="1" t="s">
        <v>181</v>
      </c>
      <c r="C133" s="25" t="s">
        <v>182</v>
      </c>
      <c r="D133" s="43">
        <v>2</v>
      </c>
      <c r="E133" s="41">
        <v>3.5000000000000003E-2</v>
      </c>
      <c r="G133" s="63">
        <v>3.5000000000000003E-2</v>
      </c>
      <c r="I133" s="44">
        <f>I131*G133*D133</f>
        <v>3831.4863417600004</v>
      </c>
      <c r="J133" s="45">
        <f>J131*E133*D133</f>
        <v>5271.8851100299999</v>
      </c>
      <c r="N133" s="45">
        <f>N131*$D$133*$G$133</f>
        <v>5702.9067796399995</v>
      </c>
      <c r="O133" s="45">
        <f>O131*$D$133*$G$133</f>
        <v>7299.7206779392009</v>
      </c>
      <c r="P133" s="34" t="s">
        <v>183</v>
      </c>
    </row>
    <row r="134" spans="1:16" x14ac:dyDescent="0.3">
      <c r="A134" s="46"/>
      <c r="B134" s="2"/>
      <c r="D134" s="21"/>
      <c r="G134" s="10"/>
      <c r="I134" s="16"/>
      <c r="J134" s="17"/>
      <c r="N134" s="45"/>
      <c r="O134" s="106"/>
    </row>
    <row r="135" spans="1:16" x14ac:dyDescent="0.3">
      <c r="A135" s="46"/>
      <c r="B135" s="3" t="s">
        <v>232</v>
      </c>
      <c r="D135" s="21"/>
      <c r="G135" s="10"/>
      <c r="I135" s="16">
        <f>SUM(I131:I133)</f>
        <v>58567.005509759998</v>
      </c>
      <c r="J135" s="17">
        <f>SUM(J131:J133)</f>
        <v>80584.529539029987</v>
      </c>
      <c r="N135" s="17">
        <f>SUM(N131:N133)</f>
        <v>87173.003631639993</v>
      </c>
      <c r="O135" s="17">
        <f>SUM(O131:O133)</f>
        <v>111581.44464849921</v>
      </c>
    </row>
    <row r="136" spans="1:16" x14ac:dyDescent="0.3">
      <c r="A136" s="46"/>
      <c r="B136" s="3"/>
      <c r="D136" s="21"/>
      <c r="G136" s="11"/>
      <c r="I136" s="16"/>
      <c r="J136" s="17"/>
      <c r="N136" s="45"/>
      <c r="O136" s="106"/>
    </row>
    <row r="137" spans="1:16" x14ac:dyDescent="0.3">
      <c r="B137" s="3" t="s">
        <v>233</v>
      </c>
      <c r="G137" s="10"/>
      <c r="I137" s="16">
        <f>SUM(I98,I135)</f>
        <v>421370.22913604346</v>
      </c>
      <c r="J137" s="17">
        <f>SUM(J98,J135)</f>
        <v>508330.59857048473</v>
      </c>
      <c r="N137" s="17">
        <f>SUM(N98,N135)</f>
        <v>518913.21762564505</v>
      </c>
      <c r="O137" s="17">
        <f>SUM(O98,O135)</f>
        <v>585469.2604344344</v>
      </c>
    </row>
    <row r="138" spans="1:16" x14ac:dyDescent="0.3">
      <c r="O138" s="106"/>
    </row>
    <row r="139" spans="1:16" x14ac:dyDescent="0.3">
      <c r="A139" s="2">
        <v>12</v>
      </c>
      <c r="B139" s="91" t="s">
        <v>234</v>
      </c>
      <c r="G139" s="60"/>
      <c r="O139" s="106"/>
    </row>
    <row r="140" spans="1:16" ht="14.6" x14ac:dyDescent="0.4">
      <c r="B140" s="25" t="s">
        <v>235</v>
      </c>
      <c r="C140" s="25" t="s">
        <v>216</v>
      </c>
      <c r="M140" s="34">
        <v>3000</v>
      </c>
      <c r="N140" s="34">
        <f>M140</f>
        <v>3000</v>
      </c>
      <c r="O140" s="116">
        <f t="shared" si="31"/>
        <v>3840</v>
      </c>
    </row>
    <row r="141" spans="1:16" ht="14.6" x14ac:dyDescent="0.4">
      <c r="B141" s="25" t="s">
        <v>236</v>
      </c>
      <c r="C141" s="25" t="s">
        <v>237</v>
      </c>
      <c r="D141" s="43">
        <v>12</v>
      </c>
      <c r="M141" s="34">
        <v>582</v>
      </c>
      <c r="N141" s="34">
        <f t="shared" ref="N141:N143" si="32">M141*D141</f>
        <v>6984</v>
      </c>
      <c r="O141" s="116">
        <f t="shared" si="31"/>
        <v>8939.52</v>
      </c>
    </row>
    <row r="142" spans="1:16" ht="14.6" x14ac:dyDescent="0.4">
      <c r="B142" s="25" t="s">
        <v>238</v>
      </c>
      <c r="C142" s="25" t="s">
        <v>237</v>
      </c>
      <c r="D142" s="43">
        <v>8</v>
      </c>
      <c r="M142" s="34">
        <v>582</v>
      </c>
      <c r="N142" s="34">
        <f t="shared" si="32"/>
        <v>4656</v>
      </c>
      <c r="O142" s="116">
        <f t="shared" si="31"/>
        <v>5959.68</v>
      </c>
    </row>
    <row r="143" spans="1:16" ht="14.6" x14ac:dyDescent="0.4">
      <c r="B143" s="25" t="s">
        <v>239</v>
      </c>
      <c r="C143" s="25" t="s">
        <v>237</v>
      </c>
      <c r="D143" s="43">
        <v>7.5</v>
      </c>
      <c r="M143" s="34">
        <v>582</v>
      </c>
      <c r="N143" s="34">
        <f t="shared" si="32"/>
        <v>4365</v>
      </c>
      <c r="O143" s="116">
        <f t="shared" si="31"/>
        <v>5587.2</v>
      </c>
    </row>
    <row r="144" spans="1:16" x14ac:dyDescent="0.3">
      <c r="D144" s="43"/>
      <c r="O144" s="106"/>
    </row>
    <row r="145" spans="2:15" ht="14.6" x14ac:dyDescent="0.4">
      <c r="B145" s="3" t="s">
        <v>240</v>
      </c>
      <c r="D145" s="43"/>
      <c r="N145" s="9">
        <f>SUM(N140:N143)</f>
        <v>19005</v>
      </c>
      <c r="O145" s="132">
        <f>SUM(O140:O143)</f>
        <v>24326.400000000001</v>
      </c>
    </row>
    <row r="146" spans="2:15" x14ac:dyDescent="0.3">
      <c r="D146" s="43"/>
      <c r="O146" s="106"/>
    </row>
    <row r="147" spans="2:15" x14ac:dyDescent="0.3">
      <c r="B147" s="1" t="s">
        <v>241</v>
      </c>
      <c r="I147" s="74">
        <f>SUM(I137+I139)</f>
        <v>421370.22913604346</v>
      </c>
      <c r="J147" s="74">
        <f>SUM(J137+J139)</f>
        <v>508330.59857048473</v>
      </c>
      <c r="N147" s="74">
        <f>SUM(N137:N143)</f>
        <v>537918.21762564499</v>
      </c>
      <c r="O147" s="18">
        <f>SUM(O137:O143)</f>
        <v>609795.66043443442</v>
      </c>
    </row>
    <row r="148" spans="2:15" x14ac:dyDescent="0.3">
      <c r="K148" s="9"/>
      <c r="L148" s="9"/>
      <c r="M148" s="9"/>
    </row>
    <row r="149" spans="2:15" x14ac:dyDescent="0.3">
      <c r="K149" s="9"/>
      <c r="L149" s="9"/>
      <c r="M149" s="9"/>
    </row>
  </sheetData>
  <mergeCells count="3">
    <mergeCell ref="K7:L7"/>
    <mergeCell ref="P63:P64"/>
    <mergeCell ref="P72:P73"/>
  </mergeCells>
  <pageMargins left="0.7" right="0.7" top="0.75" bottom="0.75" header="0.3" footer="0.3"/>
  <pageSetup paperSize="66" scale="10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A121"/>
  <sheetViews>
    <sheetView zoomScale="70" zoomScaleNormal="70" workbookViewId="0">
      <pane xSplit="2" ySplit="4" topLeftCell="C78" activePane="bottomRight" state="frozen"/>
      <selection pane="topRight" activeCell="C1" sqref="C1"/>
      <selection pane="bottomLeft" activeCell="A5" sqref="A5"/>
      <selection pane="bottomRight" activeCell="D55" sqref="D55:G55"/>
    </sheetView>
  </sheetViews>
  <sheetFormatPr defaultColWidth="9.15234375" defaultRowHeight="12.45" x14ac:dyDescent="0.3"/>
  <cols>
    <col min="1" max="1" width="9.23046875" style="25" bestFit="1" customWidth="1"/>
    <col min="2" max="2" width="72.23046875" style="25" bestFit="1" customWidth="1"/>
    <col min="3" max="3" width="5.84375" style="25" customWidth="1"/>
    <col min="4" max="4" width="12.84375" style="20" customWidth="1"/>
    <col min="5" max="5" width="12.15234375" style="41" hidden="1" customWidth="1"/>
    <col min="6" max="6" width="16.23046875" style="42" hidden="1" customWidth="1"/>
    <col min="7" max="7" width="11.84375" style="9" bestFit="1" customWidth="1"/>
    <col min="8" max="8" width="17.23046875" style="42" hidden="1" customWidth="1"/>
    <col min="9" max="9" width="19.15234375" style="9" bestFit="1" customWidth="1"/>
    <col min="10" max="10" width="15.69140625" style="9" bestFit="1" customWidth="1"/>
    <col min="11" max="11" width="60.69140625" style="34" customWidth="1"/>
    <col min="12" max="15" width="9.15234375" style="34"/>
    <col min="16" max="16384" width="9.15234375" style="25"/>
  </cols>
  <sheetData>
    <row r="1" spans="1:12" x14ac:dyDescent="0.3">
      <c r="A1" s="1" t="s">
        <v>0</v>
      </c>
      <c r="I1" s="16" t="s">
        <v>1</v>
      </c>
      <c r="J1" s="17" t="s">
        <v>2</v>
      </c>
    </row>
    <row r="2" spans="1:12" x14ac:dyDescent="0.3">
      <c r="A2" s="1" t="s">
        <v>4</v>
      </c>
      <c r="I2" s="16"/>
      <c r="J2" s="17"/>
    </row>
    <row r="3" spans="1:12" x14ac:dyDescent="0.3">
      <c r="I3" s="16" t="s">
        <v>9</v>
      </c>
      <c r="J3" s="17" t="s">
        <v>10</v>
      </c>
    </row>
    <row r="4" spans="1:12" x14ac:dyDescent="0.3">
      <c r="A4" s="2" t="s">
        <v>12</v>
      </c>
      <c r="B4" s="1" t="s">
        <v>13</v>
      </c>
      <c r="C4" s="1" t="s">
        <v>14</v>
      </c>
      <c r="D4" s="20" t="s">
        <v>15</v>
      </c>
      <c r="E4" s="41" t="s">
        <v>16</v>
      </c>
      <c r="F4" s="42" t="s">
        <v>17</v>
      </c>
      <c r="G4" s="9" t="s">
        <v>18</v>
      </c>
      <c r="H4" s="42" t="s">
        <v>19</v>
      </c>
      <c r="I4" s="16" t="s">
        <v>20</v>
      </c>
      <c r="J4" s="17" t="s">
        <v>20</v>
      </c>
      <c r="K4" s="9" t="s">
        <v>21</v>
      </c>
    </row>
    <row r="5" spans="1:12" x14ac:dyDescent="0.3">
      <c r="A5" s="2">
        <v>1</v>
      </c>
      <c r="B5" s="1" t="s">
        <v>22</v>
      </c>
      <c r="C5" s="25" t="s">
        <v>23</v>
      </c>
      <c r="D5" s="43"/>
      <c r="G5" s="34"/>
      <c r="H5" s="42">
        <v>2800</v>
      </c>
      <c r="I5" s="44">
        <f>H5*1.153</f>
        <v>3228.4</v>
      </c>
      <c r="J5" s="45">
        <f>I5</f>
        <v>3228.4</v>
      </c>
      <c r="K5" s="34" t="s">
        <v>24</v>
      </c>
    </row>
    <row r="6" spans="1:12" x14ac:dyDescent="0.3">
      <c r="A6" s="2"/>
      <c r="B6" s="1"/>
      <c r="D6" s="43"/>
      <c r="G6" s="34"/>
      <c r="I6" s="44"/>
      <c r="J6" s="45"/>
    </row>
    <row r="7" spans="1:12" x14ac:dyDescent="0.3">
      <c r="A7" s="2">
        <v>2</v>
      </c>
      <c r="B7" s="1" t="s">
        <v>25</v>
      </c>
      <c r="D7" s="43"/>
      <c r="G7" s="34"/>
      <c r="I7" s="44"/>
      <c r="J7" s="45"/>
    </row>
    <row r="8" spans="1:12" x14ac:dyDescent="0.3">
      <c r="A8" s="46">
        <v>2.1</v>
      </c>
      <c r="B8" s="25" t="s">
        <v>26</v>
      </c>
      <c r="C8" s="25" t="s">
        <v>23</v>
      </c>
      <c r="D8" s="43"/>
      <c r="G8" s="34"/>
      <c r="H8" s="42">
        <v>31500</v>
      </c>
      <c r="I8" s="44">
        <f t="shared" ref="I8:I54" si="0">H8*1.153</f>
        <v>36319.5</v>
      </c>
      <c r="J8" s="45">
        <f t="shared" ref="J8:J27" si="1">I8</f>
        <v>36319.5</v>
      </c>
      <c r="K8" s="34" t="s">
        <v>24</v>
      </c>
    </row>
    <row r="9" spans="1:12" ht="14.15" x14ac:dyDescent="0.3">
      <c r="A9" s="46">
        <v>2.2000000000000002</v>
      </c>
      <c r="B9" s="25" t="s">
        <v>27</v>
      </c>
      <c r="C9" s="25" t="s">
        <v>28</v>
      </c>
      <c r="D9" s="43">
        <f>(0.225*80*30)</f>
        <v>540</v>
      </c>
      <c r="E9" s="41">
        <v>31.5</v>
      </c>
      <c r="F9" s="42">
        <v>31.5</v>
      </c>
      <c r="G9" s="34">
        <f>F9*1.153</f>
        <v>36.319499999999998</v>
      </c>
      <c r="I9" s="44">
        <f>D9*G9</f>
        <v>19612.53</v>
      </c>
      <c r="J9" s="45">
        <f t="shared" si="1"/>
        <v>19612.53</v>
      </c>
      <c r="K9" s="34" t="s">
        <v>242</v>
      </c>
    </row>
    <row r="10" spans="1:12" x14ac:dyDescent="0.3">
      <c r="A10" s="46">
        <v>2.2999999999999998</v>
      </c>
      <c r="B10" s="47" t="s">
        <v>31</v>
      </c>
      <c r="C10" s="25" t="s">
        <v>23</v>
      </c>
      <c r="D10" s="43"/>
      <c r="G10" s="34"/>
      <c r="H10" s="42">
        <v>1050</v>
      </c>
      <c r="I10" s="44">
        <f t="shared" si="0"/>
        <v>1210.6500000000001</v>
      </c>
      <c r="J10" s="45">
        <f t="shared" si="1"/>
        <v>1210.6500000000001</v>
      </c>
      <c r="K10" s="34" t="s">
        <v>24</v>
      </c>
      <c r="L10" s="34">
        <f>SUM(I10:J10)</f>
        <v>2421.3000000000002</v>
      </c>
    </row>
    <row r="11" spans="1:12" x14ac:dyDescent="0.3">
      <c r="A11" s="46">
        <v>2.4</v>
      </c>
      <c r="B11" s="25" t="s">
        <v>32</v>
      </c>
      <c r="C11" s="25" t="s">
        <v>23</v>
      </c>
      <c r="D11" s="43"/>
      <c r="G11" s="34"/>
      <c r="H11" s="42">
        <v>2100</v>
      </c>
      <c r="I11" s="44">
        <f t="shared" si="0"/>
        <v>2421.3000000000002</v>
      </c>
      <c r="J11" s="45">
        <f t="shared" si="1"/>
        <v>2421.3000000000002</v>
      </c>
      <c r="K11" s="34" t="s">
        <v>24</v>
      </c>
    </row>
    <row r="12" spans="1:12" x14ac:dyDescent="0.3">
      <c r="A12" s="46">
        <v>2.5</v>
      </c>
      <c r="B12" s="25" t="s">
        <v>34</v>
      </c>
      <c r="C12" s="25" t="s">
        <v>35</v>
      </c>
      <c r="D12" s="43">
        <v>1880</v>
      </c>
      <c r="E12" s="41">
        <v>31.5</v>
      </c>
      <c r="F12" s="42">
        <v>31.5</v>
      </c>
      <c r="G12" s="34">
        <f>F12*1.153</f>
        <v>36.319499999999998</v>
      </c>
      <c r="I12" s="44">
        <v>2500</v>
      </c>
      <c r="J12" s="45">
        <f t="shared" si="1"/>
        <v>2500</v>
      </c>
      <c r="K12" s="34" t="s">
        <v>243</v>
      </c>
    </row>
    <row r="13" spans="1:12" ht="14.15" x14ac:dyDescent="0.3">
      <c r="A13" s="46" t="s">
        <v>37</v>
      </c>
      <c r="B13" s="25" t="s">
        <v>38</v>
      </c>
      <c r="C13" s="25" t="s">
        <v>28</v>
      </c>
      <c r="D13" s="43">
        <v>9730</v>
      </c>
      <c r="G13" s="34">
        <v>0.48</v>
      </c>
      <c r="I13" s="44">
        <f>D13*G13</f>
        <v>4670.3999999999996</v>
      </c>
      <c r="J13" s="45">
        <f t="shared" si="1"/>
        <v>4670.3999999999996</v>
      </c>
      <c r="K13" s="34" t="s">
        <v>39</v>
      </c>
    </row>
    <row r="14" spans="1:12" ht="14.15" x14ac:dyDescent="0.3">
      <c r="A14" s="46" t="s">
        <v>40</v>
      </c>
      <c r="B14" s="47" t="s">
        <v>41</v>
      </c>
      <c r="C14" s="25" t="s">
        <v>42</v>
      </c>
      <c r="D14" s="43">
        <f>8*3*2/2*(2)</f>
        <v>48</v>
      </c>
      <c r="E14" s="41">
        <v>1.9</v>
      </c>
      <c r="F14" s="42">
        <v>2.5</v>
      </c>
      <c r="G14" s="34">
        <f>G9</f>
        <v>36.319499999999998</v>
      </c>
      <c r="I14" s="44">
        <f>D14*G14</f>
        <v>1743.3359999999998</v>
      </c>
      <c r="J14" s="45">
        <f t="shared" si="1"/>
        <v>1743.3359999999998</v>
      </c>
      <c r="K14" s="34" t="s">
        <v>244</v>
      </c>
    </row>
    <row r="15" spans="1:12" x14ac:dyDescent="0.3">
      <c r="A15" s="46">
        <v>2.6</v>
      </c>
      <c r="B15" s="25" t="s">
        <v>45</v>
      </c>
      <c r="C15" s="25" t="s">
        <v>23</v>
      </c>
      <c r="D15" s="43"/>
      <c r="G15" s="34"/>
      <c r="H15" s="42">
        <v>1000</v>
      </c>
      <c r="I15" s="44">
        <f t="shared" si="0"/>
        <v>1153</v>
      </c>
      <c r="J15" s="45">
        <f t="shared" si="1"/>
        <v>1153</v>
      </c>
      <c r="K15" s="34" t="s">
        <v>24</v>
      </c>
    </row>
    <row r="16" spans="1:12" x14ac:dyDescent="0.3">
      <c r="A16" s="46">
        <v>2.7</v>
      </c>
      <c r="B16" s="25" t="s">
        <v>46</v>
      </c>
      <c r="C16" s="25" t="s">
        <v>23</v>
      </c>
      <c r="D16" s="43"/>
      <c r="G16" s="34"/>
      <c r="H16" s="42">
        <v>5000</v>
      </c>
      <c r="I16" s="44">
        <f t="shared" si="0"/>
        <v>5765</v>
      </c>
      <c r="J16" s="45">
        <f t="shared" si="1"/>
        <v>5765</v>
      </c>
      <c r="K16" s="34" t="s">
        <v>24</v>
      </c>
    </row>
    <row r="17" spans="1:11" x14ac:dyDescent="0.3">
      <c r="A17" s="46">
        <v>2.8</v>
      </c>
      <c r="B17" s="25" t="s">
        <v>245</v>
      </c>
      <c r="C17" s="25" t="s">
        <v>23</v>
      </c>
      <c r="D17" s="43"/>
      <c r="G17" s="34"/>
      <c r="H17" s="42">
        <v>400</v>
      </c>
      <c r="I17" s="44">
        <f t="shared" si="0"/>
        <v>461.2</v>
      </c>
      <c r="J17" s="45">
        <f t="shared" si="1"/>
        <v>461.2</v>
      </c>
      <c r="K17" s="34" t="s">
        <v>24</v>
      </c>
    </row>
    <row r="18" spans="1:11" x14ac:dyDescent="0.3">
      <c r="A18" s="46"/>
      <c r="D18" s="43"/>
      <c r="G18" s="34"/>
      <c r="I18" s="44"/>
      <c r="J18" s="45"/>
    </row>
    <row r="19" spans="1:11" x14ac:dyDescent="0.3">
      <c r="A19" s="2">
        <v>3.1</v>
      </c>
      <c r="B19" s="1" t="s">
        <v>49</v>
      </c>
      <c r="D19" s="43"/>
      <c r="G19" s="34"/>
      <c r="I19" s="44"/>
      <c r="J19" s="45"/>
    </row>
    <row r="20" spans="1:11" ht="14.15" x14ac:dyDescent="0.3">
      <c r="A20" s="46" t="s">
        <v>50</v>
      </c>
      <c r="B20" s="25" t="s">
        <v>51</v>
      </c>
      <c r="C20" s="25" t="s">
        <v>42</v>
      </c>
      <c r="D20" s="43">
        <v>5000</v>
      </c>
      <c r="G20" s="34">
        <v>0.23060000000000003</v>
      </c>
      <c r="I20" s="44">
        <f t="shared" ref="I20:I27" si="2">D20*G20</f>
        <v>1153.0000000000002</v>
      </c>
      <c r="J20" s="45">
        <f t="shared" si="1"/>
        <v>1153.0000000000002</v>
      </c>
    </row>
    <row r="21" spans="1:11" ht="14.15" x14ac:dyDescent="0.3">
      <c r="A21" s="46" t="s">
        <v>52</v>
      </c>
      <c r="B21" s="25" t="s">
        <v>53</v>
      </c>
      <c r="C21" s="25" t="s">
        <v>42</v>
      </c>
      <c r="D21" s="43">
        <f>0.3*6000</f>
        <v>1800</v>
      </c>
      <c r="E21" s="41">
        <v>1.5</v>
      </c>
      <c r="F21" s="42">
        <v>2.5</v>
      </c>
      <c r="G21" s="34">
        <f>F21*1.153</f>
        <v>2.8825000000000003</v>
      </c>
      <c r="I21" s="44">
        <f t="shared" si="2"/>
        <v>5188.5000000000009</v>
      </c>
      <c r="J21" s="45">
        <f t="shared" si="1"/>
        <v>5188.5000000000009</v>
      </c>
      <c r="K21" s="34" t="s">
        <v>246</v>
      </c>
    </row>
    <row r="22" spans="1:11" ht="14.15" x14ac:dyDescent="0.3">
      <c r="A22" s="46" t="s">
        <v>55</v>
      </c>
      <c r="B22" s="25" t="s">
        <v>56</v>
      </c>
      <c r="C22" s="25" t="s">
        <v>42</v>
      </c>
      <c r="D22" s="43">
        <f>D21</f>
        <v>1800</v>
      </c>
      <c r="E22" s="41">
        <v>1.2</v>
      </c>
      <c r="F22" s="42">
        <v>2.5</v>
      </c>
      <c r="G22" s="34">
        <f t="shared" ref="G22:G26" si="3">F22*1.153</f>
        <v>2.8825000000000003</v>
      </c>
      <c r="I22" s="44">
        <f t="shared" si="2"/>
        <v>5188.5000000000009</v>
      </c>
      <c r="J22" s="45">
        <f t="shared" si="1"/>
        <v>5188.5000000000009</v>
      </c>
    </row>
    <row r="23" spans="1:11" ht="14.15" x14ac:dyDescent="0.3">
      <c r="A23" s="46" t="s">
        <v>57</v>
      </c>
      <c r="B23" s="25" t="s">
        <v>58</v>
      </c>
      <c r="C23" s="25" t="s">
        <v>28</v>
      </c>
      <c r="D23" s="43">
        <f>(6000-D21)*0.4</f>
        <v>1680</v>
      </c>
      <c r="E23" s="41">
        <v>1.9</v>
      </c>
      <c r="F23" s="42">
        <v>1.9</v>
      </c>
      <c r="G23" s="34">
        <f t="shared" si="3"/>
        <v>2.1907000000000001</v>
      </c>
      <c r="I23" s="44">
        <f t="shared" si="2"/>
        <v>3680.3760000000002</v>
      </c>
      <c r="J23" s="45">
        <f t="shared" si="1"/>
        <v>3680.3760000000002</v>
      </c>
      <c r="K23" s="34" t="s">
        <v>59</v>
      </c>
    </row>
    <row r="24" spans="1:11" ht="14.15" x14ac:dyDescent="0.3">
      <c r="A24" s="46" t="s">
        <v>60</v>
      </c>
      <c r="B24" s="25" t="s">
        <v>61</v>
      </c>
      <c r="C24" s="25" t="s">
        <v>28</v>
      </c>
      <c r="D24" s="43">
        <v>19602</v>
      </c>
      <c r="E24" s="41">
        <v>0.42</v>
      </c>
      <c r="F24" s="42">
        <v>0.42</v>
      </c>
      <c r="G24" s="34">
        <f t="shared" si="3"/>
        <v>0.48425999999999997</v>
      </c>
      <c r="I24" s="44">
        <f t="shared" si="2"/>
        <v>9492.4645199999995</v>
      </c>
      <c r="J24" s="45">
        <f t="shared" si="1"/>
        <v>9492.4645199999995</v>
      </c>
      <c r="K24" s="34" t="s">
        <v>62</v>
      </c>
    </row>
    <row r="25" spans="1:11" ht="14.15" x14ac:dyDescent="0.3">
      <c r="A25" s="46" t="s">
        <v>63</v>
      </c>
      <c r="B25" s="25" t="s">
        <v>64</v>
      </c>
      <c r="C25" s="25" t="s">
        <v>42</v>
      </c>
      <c r="D25" s="43">
        <v>1020</v>
      </c>
      <c r="E25" s="41">
        <v>0.2</v>
      </c>
      <c r="F25" s="42">
        <v>0.2</v>
      </c>
      <c r="G25" s="34">
        <f t="shared" si="3"/>
        <v>0.23060000000000003</v>
      </c>
      <c r="I25" s="44">
        <f t="shared" si="2"/>
        <v>235.21200000000002</v>
      </c>
      <c r="J25" s="45">
        <f t="shared" si="1"/>
        <v>235.21200000000002</v>
      </c>
    </row>
    <row r="26" spans="1:11" ht="14.15" x14ac:dyDescent="0.3">
      <c r="A26" s="46" t="s">
        <v>65</v>
      </c>
      <c r="B26" s="25" t="s">
        <v>66</v>
      </c>
      <c r="C26" s="25" t="s">
        <v>28</v>
      </c>
      <c r="D26" s="43">
        <f>D23</f>
        <v>1680</v>
      </c>
      <c r="E26" s="41">
        <v>1.9</v>
      </c>
      <c r="F26" s="42">
        <v>1.9</v>
      </c>
      <c r="G26" s="34">
        <f t="shared" si="3"/>
        <v>2.1907000000000001</v>
      </c>
      <c r="I26" s="44">
        <f t="shared" si="2"/>
        <v>3680.3760000000002</v>
      </c>
      <c r="J26" s="45">
        <f t="shared" si="1"/>
        <v>3680.3760000000002</v>
      </c>
      <c r="K26" s="34" t="s">
        <v>67</v>
      </c>
    </row>
    <row r="27" spans="1:11" ht="14.15" x14ac:dyDescent="0.3">
      <c r="A27" s="46" t="s">
        <v>68</v>
      </c>
      <c r="B27" s="25" t="s">
        <v>69</v>
      </c>
      <c r="C27" s="25" t="s">
        <v>42</v>
      </c>
      <c r="D27" s="43">
        <f>D21</f>
        <v>1800</v>
      </c>
      <c r="E27" s="41">
        <v>4.0999999999999996</v>
      </c>
      <c r="F27" s="42">
        <v>7.5</v>
      </c>
      <c r="G27" s="48">
        <f>7.5*1.153</f>
        <v>8.6475000000000009</v>
      </c>
      <c r="I27" s="44">
        <f t="shared" si="2"/>
        <v>15565.500000000002</v>
      </c>
      <c r="J27" s="45">
        <f t="shared" si="1"/>
        <v>15565.500000000002</v>
      </c>
      <c r="K27" s="34" t="s">
        <v>70</v>
      </c>
    </row>
    <row r="28" spans="1:11" ht="12.75" customHeight="1" x14ac:dyDescent="0.3">
      <c r="A28" s="12" t="s">
        <v>71</v>
      </c>
      <c r="B28" s="13" t="s">
        <v>72</v>
      </c>
      <c r="D28" s="43"/>
      <c r="G28" s="34"/>
      <c r="I28" s="44"/>
      <c r="J28" s="34"/>
      <c r="K28" s="49" t="s">
        <v>73</v>
      </c>
    </row>
    <row r="29" spans="1:11" ht="14.15" x14ac:dyDescent="0.3">
      <c r="A29" s="37" t="s">
        <v>74</v>
      </c>
      <c r="B29" s="32" t="s">
        <v>75</v>
      </c>
      <c r="C29" s="25" t="s">
        <v>28</v>
      </c>
      <c r="D29" s="50">
        <f>13686/2</f>
        <v>6843</v>
      </c>
      <c r="F29" s="42">
        <v>8</v>
      </c>
      <c r="G29" s="34">
        <f>F29*1.153</f>
        <v>9.2240000000000002</v>
      </c>
      <c r="I29" s="44">
        <f t="shared" ref="I29:I35" si="4">D29*G29</f>
        <v>63119.832000000002</v>
      </c>
      <c r="J29" s="34"/>
      <c r="K29" s="51" t="s">
        <v>76</v>
      </c>
    </row>
    <row r="30" spans="1:11" ht="14.15" x14ac:dyDescent="0.3">
      <c r="A30" s="37" t="s">
        <v>77</v>
      </c>
      <c r="B30" s="32" t="s">
        <v>78</v>
      </c>
      <c r="C30" s="25" t="s">
        <v>28</v>
      </c>
      <c r="D30" s="43">
        <f>(6672/2*0.7*0.4)+(6672/2*0.3*0.1)</f>
        <v>1034.1599999999999</v>
      </c>
      <c r="E30" s="41">
        <v>1.9</v>
      </c>
      <c r="F30" s="42">
        <v>1.9</v>
      </c>
      <c r="G30" s="34">
        <f>F30*1.153</f>
        <v>2.1907000000000001</v>
      </c>
      <c r="I30" s="44">
        <f t="shared" si="4"/>
        <v>2265.5343119999998</v>
      </c>
      <c r="J30" s="34"/>
      <c r="K30" s="52" t="s">
        <v>79</v>
      </c>
    </row>
    <row r="31" spans="1:11" ht="14.15" x14ac:dyDescent="0.3">
      <c r="A31" s="37" t="s">
        <v>80</v>
      </c>
      <c r="B31" s="32" t="s">
        <v>81</v>
      </c>
      <c r="C31" s="25" t="s">
        <v>42</v>
      </c>
      <c r="D31" s="43">
        <f>6672/2*0.3</f>
        <v>1000.8</v>
      </c>
      <c r="E31" s="41">
        <v>4.0999999999999996</v>
      </c>
      <c r="F31" s="42">
        <v>7.5</v>
      </c>
      <c r="G31" s="48">
        <f>7.5*1.153</f>
        <v>8.6475000000000009</v>
      </c>
      <c r="I31" s="44">
        <f t="shared" si="4"/>
        <v>8654.4179999999997</v>
      </c>
      <c r="J31" s="34"/>
      <c r="K31" s="52" t="s">
        <v>79</v>
      </c>
    </row>
    <row r="32" spans="1:11" ht="12.75" customHeight="1" x14ac:dyDescent="0.3">
      <c r="A32" s="44" t="s">
        <v>247</v>
      </c>
      <c r="B32" s="44" t="s">
        <v>83</v>
      </c>
      <c r="C32" s="25" t="s">
        <v>28</v>
      </c>
      <c r="D32" s="50">
        <v>4000</v>
      </c>
      <c r="E32" s="53"/>
      <c r="G32" s="34">
        <v>0.48</v>
      </c>
      <c r="I32" s="48">
        <f>D32*G32</f>
        <v>1920</v>
      </c>
      <c r="J32" s="25"/>
      <c r="K32" s="48" t="s">
        <v>84</v>
      </c>
    </row>
    <row r="33" spans="1:11" ht="14.15" x14ac:dyDescent="0.3">
      <c r="A33" s="37" t="s">
        <v>85</v>
      </c>
      <c r="B33" s="32" t="s">
        <v>86</v>
      </c>
      <c r="C33" s="25" t="s">
        <v>28</v>
      </c>
      <c r="D33" s="43">
        <f>(6672/2*0.7*0.4)+(6672/2*0.3*0.1)</f>
        <v>1034.1599999999999</v>
      </c>
      <c r="G33" s="34">
        <v>2.19</v>
      </c>
      <c r="I33" s="44">
        <f t="shared" si="4"/>
        <v>2264.8103999999998</v>
      </c>
      <c r="J33" s="34"/>
      <c r="K33" s="52" t="s">
        <v>79</v>
      </c>
    </row>
    <row r="34" spans="1:11" ht="14.15" x14ac:dyDescent="0.3">
      <c r="A34" s="37" t="s">
        <v>87</v>
      </c>
      <c r="B34" s="32" t="s">
        <v>88</v>
      </c>
      <c r="C34" s="25" t="s">
        <v>42</v>
      </c>
      <c r="D34" s="43">
        <f>6672/2*0.3</f>
        <v>1000.8</v>
      </c>
      <c r="E34" s="41">
        <v>4.0999999999999996</v>
      </c>
      <c r="F34" s="42">
        <v>7.5</v>
      </c>
      <c r="G34" s="48">
        <f>7.5*1.153</f>
        <v>8.6475000000000009</v>
      </c>
      <c r="I34" s="44">
        <f t="shared" si="4"/>
        <v>8654.4179999999997</v>
      </c>
      <c r="J34" s="34"/>
      <c r="K34" s="52" t="s">
        <v>79</v>
      </c>
    </row>
    <row r="35" spans="1:11" ht="14.15" x14ac:dyDescent="0.3">
      <c r="A35" s="37" t="s">
        <v>89</v>
      </c>
      <c r="B35" s="32" t="s">
        <v>90</v>
      </c>
      <c r="C35" s="25" t="s">
        <v>42</v>
      </c>
      <c r="D35" s="43">
        <f>6672/2</f>
        <v>3336</v>
      </c>
      <c r="E35" s="41">
        <v>5</v>
      </c>
      <c r="F35" s="42">
        <v>5</v>
      </c>
      <c r="G35" s="34">
        <f>F35*1.153</f>
        <v>5.7650000000000006</v>
      </c>
      <c r="I35" s="44">
        <f t="shared" si="4"/>
        <v>19232.04</v>
      </c>
      <c r="J35" s="34"/>
      <c r="K35" s="52" t="s">
        <v>91</v>
      </c>
    </row>
    <row r="36" spans="1:11" x14ac:dyDescent="0.3">
      <c r="A36" s="14" t="s">
        <v>92</v>
      </c>
      <c r="B36" s="15" t="s">
        <v>93</v>
      </c>
      <c r="D36" s="43"/>
      <c r="G36" s="34"/>
      <c r="I36" s="34"/>
      <c r="J36" s="45"/>
      <c r="K36" s="33"/>
    </row>
    <row r="37" spans="1:11" ht="14.15" x14ac:dyDescent="0.3">
      <c r="A37" s="54" t="s">
        <v>94</v>
      </c>
      <c r="B37" s="22" t="s">
        <v>248</v>
      </c>
      <c r="C37" s="25" t="s">
        <v>28</v>
      </c>
      <c r="D37" s="43">
        <f>(13053/2*0.7*0.4)+(13053/2*0.3*0.1)</f>
        <v>2023.2149999999999</v>
      </c>
      <c r="G37" s="34">
        <f>1.9*1.153</f>
        <v>2.1907000000000001</v>
      </c>
      <c r="I37" s="34"/>
      <c r="J37" s="45">
        <f t="shared" ref="J37:J45" si="5">D37*G37</f>
        <v>4432.2571005</v>
      </c>
      <c r="K37" s="34" t="s">
        <v>249</v>
      </c>
    </row>
    <row r="38" spans="1:11" ht="14.15" x14ac:dyDescent="0.3">
      <c r="A38" s="54" t="s">
        <v>97</v>
      </c>
      <c r="B38" s="22" t="s">
        <v>250</v>
      </c>
      <c r="C38" s="25" t="s">
        <v>42</v>
      </c>
      <c r="D38" s="43">
        <f>13053/2*0.3</f>
        <v>1957.9499999999998</v>
      </c>
      <c r="G38" s="48">
        <f>7.5*1.153</f>
        <v>8.6475000000000009</v>
      </c>
      <c r="I38" s="34"/>
      <c r="J38" s="45">
        <f t="shared" si="5"/>
        <v>16931.372625</v>
      </c>
      <c r="K38" s="34" t="s">
        <v>249</v>
      </c>
    </row>
    <row r="39" spans="1:11" ht="14.15" x14ac:dyDescent="0.3">
      <c r="A39" s="54" t="s">
        <v>99</v>
      </c>
      <c r="B39" s="22" t="s">
        <v>251</v>
      </c>
      <c r="C39" s="25" t="s">
        <v>28</v>
      </c>
      <c r="D39" s="50">
        <v>4000</v>
      </c>
      <c r="E39" s="53"/>
      <c r="G39" s="34">
        <v>9.2240000000000002</v>
      </c>
      <c r="I39" s="34"/>
      <c r="J39" s="45">
        <f t="shared" si="5"/>
        <v>36896</v>
      </c>
      <c r="K39" s="48" t="s">
        <v>252</v>
      </c>
    </row>
    <row r="40" spans="1:11" ht="14.15" x14ac:dyDescent="0.3">
      <c r="A40" s="54" t="s">
        <v>102</v>
      </c>
      <c r="B40" s="22" t="s">
        <v>253</v>
      </c>
      <c r="C40" s="25" t="s">
        <v>28</v>
      </c>
      <c r="D40" s="43">
        <f>(8577*0.7*0.4)+(8577*0.3*0.1)</f>
        <v>2658.87</v>
      </c>
      <c r="G40" s="34">
        <f>1.9*1.153</f>
        <v>2.1907000000000001</v>
      </c>
      <c r="I40" s="34"/>
      <c r="J40" s="45">
        <f t="shared" si="5"/>
        <v>5824.7865089999996</v>
      </c>
      <c r="K40" s="48" t="s">
        <v>254</v>
      </c>
    </row>
    <row r="41" spans="1:11" ht="14.15" x14ac:dyDescent="0.3">
      <c r="A41" s="54" t="s">
        <v>105</v>
      </c>
      <c r="B41" s="22" t="s">
        <v>255</v>
      </c>
      <c r="C41" s="25" t="s">
        <v>42</v>
      </c>
      <c r="D41" s="43">
        <f>8577*0.3</f>
        <v>2573.1</v>
      </c>
      <c r="G41" s="48">
        <f>7.5*1.153</f>
        <v>8.6475000000000009</v>
      </c>
      <c r="I41" s="34"/>
      <c r="J41" s="45">
        <f t="shared" si="5"/>
        <v>22250.882250000002</v>
      </c>
      <c r="K41" s="48" t="s">
        <v>254</v>
      </c>
    </row>
    <row r="42" spans="1:11" ht="14.15" x14ac:dyDescent="0.3">
      <c r="A42" s="54" t="s">
        <v>107</v>
      </c>
      <c r="B42" s="22" t="s">
        <v>256</v>
      </c>
      <c r="C42" s="25" t="s">
        <v>28</v>
      </c>
      <c r="D42" s="43">
        <v>4000</v>
      </c>
      <c r="G42" s="34">
        <f>0.42*1.153</f>
        <v>0.48425999999999997</v>
      </c>
      <c r="I42" s="34"/>
      <c r="J42" s="45">
        <f t="shared" si="5"/>
        <v>1937.04</v>
      </c>
      <c r="K42" s="48" t="s">
        <v>257</v>
      </c>
    </row>
    <row r="43" spans="1:11" ht="14.15" x14ac:dyDescent="0.3">
      <c r="A43" s="54" t="s">
        <v>110</v>
      </c>
      <c r="B43" s="22" t="s">
        <v>258</v>
      </c>
      <c r="C43" s="25" t="s">
        <v>28</v>
      </c>
      <c r="D43" s="43">
        <f>(15498/2*0.7*0.4)+(15498/2*0.3*0.1)</f>
        <v>2402.1899999999996</v>
      </c>
      <c r="G43" s="34">
        <f>1.9*1.153</f>
        <v>2.1907000000000001</v>
      </c>
      <c r="I43" s="34"/>
      <c r="J43" s="45">
        <f t="shared" si="5"/>
        <v>5262.4776329999995</v>
      </c>
      <c r="K43" s="48" t="s">
        <v>259</v>
      </c>
    </row>
    <row r="44" spans="1:11" ht="14.15" x14ac:dyDescent="0.3">
      <c r="A44" s="54" t="s">
        <v>113</v>
      </c>
      <c r="B44" s="22" t="s">
        <v>260</v>
      </c>
      <c r="C44" s="25" t="s">
        <v>42</v>
      </c>
      <c r="D44" s="43">
        <f>15498/2*0.3</f>
        <v>2324.6999999999998</v>
      </c>
      <c r="G44" s="48">
        <f>7.5*1.153</f>
        <v>8.6475000000000009</v>
      </c>
      <c r="I44" s="34"/>
      <c r="J44" s="45">
        <f t="shared" si="5"/>
        <v>20102.843250000002</v>
      </c>
      <c r="K44" s="48" t="s">
        <v>259</v>
      </c>
    </row>
    <row r="45" spans="1:11" ht="14.15" x14ac:dyDescent="0.3">
      <c r="A45" s="54" t="s">
        <v>115</v>
      </c>
      <c r="B45" s="22" t="s">
        <v>90</v>
      </c>
      <c r="C45" s="25" t="s">
        <v>42</v>
      </c>
      <c r="D45" s="50">
        <f>0.5*(13053/2)</f>
        <v>3263.25</v>
      </c>
      <c r="E45" s="41">
        <v>5</v>
      </c>
      <c r="F45" s="42">
        <v>5</v>
      </c>
      <c r="G45" s="34">
        <f>F45*1.153</f>
        <v>5.7650000000000006</v>
      </c>
      <c r="I45" s="34"/>
      <c r="J45" s="48">
        <f t="shared" si="5"/>
        <v>18812.636250000003</v>
      </c>
      <c r="K45" s="34" t="s">
        <v>261</v>
      </c>
    </row>
    <row r="46" spans="1:11" x14ac:dyDescent="0.3">
      <c r="A46" s="2">
        <v>3.3</v>
      </c>
      <c r="B46" s="1" t="s">
        <v>117</v>
      </c>
      <c r="D46" s="43"/>
      <c r="G46" s="34"/>
      <c r="I46" s="44"/>
      <c r="J46" s="45"/>
    </row>
    <row r="47" spans="1:11" x14ac:dyDescent="0.3">
      <c r="A47" s="46" t="s">
        <v>118</v>
      </c>
      <c r="B47" s="25" t="s">
        <v>119</v>
      </c>
      <c r="D47" s="43"/>
      <c r="G47" s="34"/>
      <c r="I47" s="44"/>
      <c r="J47" s="45"/>
      <c r="K47" s="34" t="s">
        <v>120</v>
      </c>
    </row>
    <row r="48" spans="1:11" x14ac:dyDescent="0.3">
      <c r="A48" s="5">
        <v>3.4</v>
      </c>
      <c r="B48" s="1" t="s">
        <v>121</v>
      </c>
      <c r="C48" s="25" t="s">
        <v>23</v>
      </c>
      <c r="D48" s="43"/>
      <c r="G48" s="34"/>
      <c r="H48" s="42">
        <v>2100</v>
      </c>
      <c r="I48" s="44">
        <f>H48*1.153</f>
        <v>2421.3000000000002</v>
      </c>
      <c r="J48" s="45">
        <f>I48</f>
        <v>2421.3000000000002</v>
      </c>
    </row>
    <row r="49" spans="1:12" x14ac:dyDescent="0.3">
      <c r="A49" s="5">
        <v>3.5</v>
      </c>
      <c r="B49" s="1" t="s">
        <v>122</v>
      </c>
      <c r="D49" s="43"/>
      <c r="G49" s="34"/>
      <c r="I49" s="44"/>
      <c r="J49" s="45"/>
    </row>
    <row r="50" spans="1:12" ht="14.15" x14ac:dyDescent="0.3">
      <c r="A50" s="55" t="s">
        <v>123</v>
      </c>
      <c r="B50" s="25" t="s">
        <v>124</v>
      </c>
      <c r="C50" s="25" t="s">
        <v>42</v>
      </c>
      <c r="D50" s="43">
        <v>15000</v>
      </c>
      <c r="E50" s="41">
        <v>0.2</v>
      </c>
      <c r="F50" s="42">
        <v>0.2</v>
      </c>
      <c r="G50" s="34">
        <f>F50*1.153</f>
        <v>0.23060000000000003</v>
      </c>
      <c r="I50" s="44">
        <f>D50*G50</f>
        <v>3459.0000000000005</v>
      </c>
      <c r="J50" s="45">
        <f t="shared" ref="J50:J58" si="6">I50</f>
        <v>3459.0000000000005</v>
      </c>
    </row>
    <row r="51" spans="1:12" x14ac:dyDescent="0.3">
      <c r="A51" s="55"/>
      <c r="D51" s="43"/>
      <c r="G51" s="34"/>
      <c r="I51" s="44"/>
      <c r="J51" s="45"/>
    </row>
    <row r="52" spans="1:12" x14ac:dyDescent="0.3">
      <c r="A52" s="2">
        <v>4</v>
      </c>
      <c r="B52" s="1" t="s">
        <v>125</v>
      </c>
      <c r="D52" s="43"/>
      <c r="G52" s="34"/>
      <c r="I52" s="44"/>
      <c r="J52" s="45"/>
    </row>
    <row r="53" spans="1:12" x14ac:dyDescent="0.3">
      <c r="A53" s="2">
        <v>4.0999999999999996</v>
      </c>
      <c r="B53" s="1" t="s">
        <v>126</v>
      </c>
      <c r="D53" s="43"/>
      <c r="G53" s="34"/>
      <c r="I53" s="44"/>
      <c r="J53" s="45"/>
    </row>
    <row r="54" spans="1:12" x14ac:dyDescent="0.3">
      <c r="A54" s="46" t="s">
        <v>127</v>
      </c>
      <c r="B54" s="25" t="s">
        <v>128</v>
      </c>
      <c r="C54" s="25" t="s">
        <v>23</v>
      </c>
      <c r="D54" s="43"/>
      <c r="G54" s="34"/>
      <c r="H54" s="42">
        <v>1000</v>
      </c>
      <c r="I54" s="44">
        <f t="shared" si="0"/>
        <v>1153</v>
      </c>
      <c r="J54" s="45">
        <f t="shared" si="6"/>
        <v>1153</v>
      </c>
    </row>
    <row r="55" spans="1:12" ht="14.15" x14ac:dyDescent="0.3">
      <c r="A55" s="46" t="s">
        <v>129</v>
      </c>
      <c r="B55" s="25" t="s">
        <v>130</v>
      </c>
      <c r="C55" s="25" t="s">
        <v>42</v>
      </c>
      <c r="D55" s="72">
        <v>22500</v>
      </c>
      <c r="E55" s="73">
        <v>0.21</v>
      </c>
      <c r="F55" s="73">
        <v>0.5</v>
      </c>
      <c r="G55" s="73">
        <f>F55*1.153</f>
        <v>0.57650000000000001</v>
      </c>
      <c r="I55" s="44">
        <f>D55*G55</f>
        <v>12971.25</v>
      </c>
      <c r="J55" s="45">
        <f t="shared" si="6"/>
        <v>12971.25</v>
      </c>
    </row>
    <row r="56" spans="1:12" x14ac:dyDescent="0.3">
      <c r="A56" s="46" t="s">
        <v>131</v>
      </c>
      <c r="B56" s="25" t="s">
        <v>132</v>
      </c>
      <c r="C56" s="25" t="s">
        <v>133</v>
      </c>
      <c r="D56" s="56">
        <f>D55/10000</f>
        <v>2.25</v>
      </c>
      <c r="E56" s="41">
        <v>2000</v>
      </c>
      <c r="F56" s="42">
        <v>2000</v>
      </c>
      <c r="G56" s="34">
        <f>F56*1.153</f>
        <v>2306</v>
      </c>
      <c r="I56" s="44">
        <f>D56*G56</f>
        <v>5188.5</v>
      </c>
      <c r="J56" s="45">
        <f t="shared" si="6"/>
        <v>5188.5</v>
      </c>
    </row>
    <row r="57" spans="1:12" ht="14.15" x14ac:dyDescent="0.3">
      <c r="A57" s="46" t="s">
        <v>134</v>
      </c>
      <c r="B57" s="25" t="s">
        <v>135</v>
      </c>
      <c r="C57" s="25" t="s">
        <v>42</v>
      </c>
      <c r="D57" s="43">
        <v>1020</v>
      </c>
      <c r="E57" s="41">
        <v>0.2</v>
      </c>
      <c r="F57" s="42">
        <v>0.2</v>
      </c>
      <c r="G57" s="34">
        <f>F57*1.153</f>
        <v>0.23060000000000003</v>
      </c>
      <c r="I57" s="44">
        <f>D57*G57</f>
        <v>235.21200000000002</v>
      </c>
      <c r="J57" s="45">
        <f t="shared" si="6"/>
        <v>235.21200000000002</v>
      </c>
    </row>
    <row r="58" spans="1:12" ht="14.15" x14ac:dyDescent="0.3">
      <c r="A58" s="46" t="s">
        <v>136</v>
      </c>
      <c r="B58" s="25" t="s">
        <v>137</v>
      </c>
      <c r="C58" s="25" t="s">
        <v>42</v>
      </c>
      <c r="D58" s="43">
        <f>(10000*D56)*0.15</f>
        <v>3375</v>
      </c>
      <c r="F58" s="42">
        <v>4</v>
      </c>
      <c r="G58" s="48">
        <f>F58*1.153</f>
        <v>4.6120000000000001</v>
      </c>
      <c r="I58" s="48">
        <f>D58*G58</f>
        <v>15565.5</v>
      </c>
      <c r="J58" s="48">
        <f t="shared" si="6"/>
        <v>15565.5</v>
      </c>
    </row>
    <row r="59" spans="1:12" x14ac:dyDescent="0.3">
      <c r="A59" s="12" t="s">
        <v>138</v>
      </c>
      <c r="B59" s="13" t="s">
        <v>72</v>
      </c>
      <c r="D59" s="43"/>
      <c r="G59" s="34"/>
      <c r="I59" s="44"/>
      <c r="J59" s="34"/>
    </row>
    <row r="60" spans="1:12" ht="14.15" x14ac:dyDescent="0.3">
      <c r="A60" s="37" t="s">
        <v>139</v>
      </c>
      <c r="B60" s="32" t="s">
        <v>140</v>
      </c>
      <c r="C60" s="25" t="s">
        <v>42</v>
      </c>
      <c r="D60" s="43">
        <v>6672</v>
      </c>
      <c r="E60" s="41">
        <v>0.2</v>
      </c>
      <c r="F60" s="42">
        <v>0.2</v>
      </c>
      <c r="G60" s="34">
        <f>F60*1.153</f>
        <v>0.23060000000000003</v>
      </c>
      <c r="I60" s="44">
        <f>D60*G60</f>
        <v>1538.5632000000003</v>
      </c>
      <c r="J60" s="34"/>
      <c r="K60" s="34" t="s">
        <v>262</v>
      </c>
    </row>
    <row r="61" spans="1:12" x14ac:dyDescent="0.3">
      <c r="A61" s="37" t="s">
        <v>141</v>
      </c>
      <c r="B61" s="32" t="s">
        <v>142</v>
      </c>
      <c r="C61" s="26" t="s">
        <v>133</v>
      </c>
      <c r="D61" s="56">
        <f>D60/10000</f>
        <v>0.66720000000000002</v>
      </c>
      <c r="E61" s="41">
        <v>2000</v>
      </c>
      <c r="F61" s="42">
        <v>2000</v>
      </c>
      <c r="G61" s="34">
        <f>F61*1.153</f>
        <v>2306</v>
      </c>
      <c r="I61" s="44">
        <f>D61*G61</f>
        <v>1538.5632000000001</v>
      </c>
      <c r="J61" s="34"/>
    </row>
    <row r="62" spans="1:12" ht="14.15" x14ac:dyDescent="0.3">
      <c r="A62" s="37" t="s">
        <v>143</v>
      </c>
      <c r="B62" s="32" t="s">
        <v>263</v>
      </c>
      <c r="C62" s="25" t="s">
        <v>42</v>
      </c>
      <c r="D62" s="50">
        <f>D60/2*0.15</f>
        <v>500.4</v>
      </c>
      <c r="E62" s="41">
        <v>4</v>
      </c>
      <c r="F62" s="42">
        <v>4</v>
      </c>
      <c r="G62" s="48">
        <f>F62*1.153</f>
        <v>4.6120000000000001</v>
      </c>
      <c r="I62" s="48">
        <f>D62*G62</f>
        <v>2307.8447999999999</v>
      </c>
      <c r="J62" s="34"/>
      <c r="K62" s="48" t="s">
        <v>145</v>
      </c>
    </row>
    <row r="63" spans="1:12" x14ac:dyDescent="0.3">
      <c r="A63" s="14" t="s">
        <v>146</v>
      </c>
      <c r="B63" s="15" t="s">
        <v>93</v>
      </c>
      <c r="D63" s="43"/>
      <c r="G63" s="34"/>
      <c r="I63" s="34"/>
      <c r="J63" s="45"/>
      <c r="L63" s="57"/>
    </row>
    <row r="64" spans="1:12" ht="14.15" x14ac:dyDescent="0.3">
      <c r="A64" s="54" t="s">
        <v>147</v>
      </c>
      <c r="B64" s="22" t="s">
        <v>148</v>
      </c>
      <c r="C64" s="25" t="s">
        <v>42</v>
      </c>
      <c r="D64" s="43">
        <f>(13053/2)+(8577)+(15498/2)</f>
        <v>22852.5</v>
      </c>
      <c r="E64" s="41">
        <v>0.2</v>
      </c>
      <c r="F64" s="42">
        <v>0.2</v>
      </c>
      <c r="G64" s="34">
        <f>E64*1.153</f>
        <v>0.23060000000000003</v>
      </c>
      <c r="I64" s="34"/>
      <c r="J64" s="45">
        <f>D64*G64</f>
        <v>5269.7865000000011</v>
      </c>
      <c r="K64" s="34" t="s">
        <v>152</v>
      </c>
      <c r="L64" s="57"/>
    </row>
    <row r="65" spans="1:12" x14ac:dyDescent="0.3">
      <c r="A65" s="54" t="s">
        <v>150</v>
      </c>
      <c r="B65" s="22" t="s">
        <v>151</v>
      </c>
      <c r="C65" s="26" t="s">
        <v>133</v>
      </c>
      <c r="D65" s="56">
        <f>((13053/2)+(8577)+(15498/2))/10000</f>
        <v>2.28525</v>
      </c>
      <c r="E65" s="41">
        <v>2000</v>
      </c>
      <c r="F65" s="42">
        <v>2000</v>
      </c>
      <c r="G65" s="34">
        <f>E65*1.153</f>
        <v>2306</v>
      </c>
      <c r="I65" s="34"/>
      <c r="J65" s="45">
        <f>D65*G65</f>
        <v>5269.7865000000002</v>
      </c>
      <c r="K65" s="34" t="s">
        <v>152</v>
      </c>
      <c r="L65" s="57"/>
    </row>
    <row r="66" spans="1:12" ht="14.15" x14ac:dyDescent="0.3">
      <c r="A66" s="54" t="s">
        <v>153</v>
      </c>
      <c r="B66" s="22" t="s">
        <v>144</v>
      </c>
      <c r="C66" s="25" t="s">
        <v>42</v>
      </c>
      <c r="D66" s="50">
        <f>(D64-(15498/2))*0.15</f>
        <v>2265.5250000000001</v>
      </c>
      <c r="E66" s="41">
        <v>4</v>
      </c>
      <c r="F66" s="42">
        <v>4</v>
      </c>
      <c r="G66" s="48">
        <f>F66*1.153</f>
        <v>4.6120000000000001</v>
      </c>
      <c r="I66" s="34"/>
      <c r="J66" s="48">
        <f>D66*G66</f>
        <v>10448.6013</v>
      </c>
      <c r="K66" s="48" t="s">
        <v>264</v>
      </c>
      <c r="L66" s="57"/>
    </row>
    <row r="67" spans="1:12" x14ac:dyDescent="0.3">
      <c r="A67" s="54" t="s">
        <v>155</v>
      </c>
      <c r="B67" s="22" t="s">
        <v>156</v>
      </c>
      <c r="C67" s="26"/>
      <c r="D67" s="43">
        <v>750</v>
      </c>
      <c r="G67" s="34">
        <v>3.6</v>
      </c>
      <c r="I67" s="34"/>
      <c r="J67" s="45">
        <f>D67*G67</f>
        <v>2700</v>
      </c>
      <c r="K67" s="34" t="s">
        <v>158</v>
      </c>
      <c r="L67" s="57"/>
    </row>
    <row r="68" spans="1:12" x14ac:dyDescent="0.3">
      <c r="A68" s="2">
        <v>4.3</v>
      </c>
      <c r="B68" s="1" t="s">
        <v>159</v>
      </c>
      <c r="C68" s="26"/>
      <c r="D68" s="58"/>
      <c r="G68" s="34"/>
      <c r="I68" s="34"/>
      <c r="J68" s="45"/>
    </row>
    <row r="69" spans="1:12" ht="14.15" x14ac:dyDescent="0.3">
      <c r="A69" s="46" t="s">
        <v>160</v>
      </c>
      <c r="B69" s="25" t="s">
        <v>161</v>
      </c>
      <c r="C69" s="25" t="s">
        <v>42</v>
      </c>
      <c r="D69" s="43">
        <v>500</v>
      </c>
      <c r="E69" s="41">
        <v>0.2</v>
      </c>
      <c r="F69" s="42">
        <v>0.2</v>
      </c>
      <c r="G69" s="34">
        <f>F69*1.153</f>
        <v>0.23060000000000003</v>
      </c>
      <c r="I69" s="44">
        <f>D69*G69</f>
        <v>115.30000000000001</v>
      </c>
      <c r="J69" s="45">
        <f>I69</f>
        <v>115.30000000000001</v>
      </c>
      <c r="K69" s="34" t="s">
        <v>162</v>
      </c>
    </row>
    <row r="70" spans="1:12" x14ac:dyDescent="0.3">
      <c r="A70" s="46" t="s">
        <v>163</v>
      </c>
      <c r="B70" s="25" t="s">
        <v>164</v>
      </c>
      <c r="C70" s="25" t="s">
        <v>133</v>
      </c>
      <c r="D70" s="56">
        <v>0.05</v>
      </c>
      <c r="E70" s="41">
        <v>2000</v>
      </c>
      <c r="F70" s="42">
        <v>2000</v>
      </c>
      <c r="G70" s="34">
        <f>F70*1.153</f>
        <v>2306</v>
      </c>
      <c r="I70" s="44">
        <f>D70*G70</f>
        <v>115.30000000000001</v>
      </c>
      <c r="J70" s="45">
        <f t="shared" ref="J70:J77" si="7">I70</f>
        <v>115.30000000000001</v>
      </c>
    </row>
    <row r="71" spans="1:12" ht="14.15" x14ac:dyDescent="0.3">
      <c r="A71" s="46" t="s">
        <v>165</v>
      </c>
      <c r="B71" s="25" t="s">
        <v>137</v>
      </c>
      <c r="C71" s="25" t="s">
        <v>42</v>
      </c>
      <c r="D71" s="43">
        <f>D69*0.15</f>
        <v>75</v>
      </c>
      <c r="F71" s="42">
        <v>4</v>
      </c>
      <c r="G71" s="48">
        <f>F71*1.153</f>
        <v>4.6120000000000001</v>
      </c>
      <c r="I71" s="48">
        <f>D71*G71</f>
        <v>345.90000000000003</v>
      </c>
      <c r="J71" s="48">
        <f t="shared" si="7"/>
        <v>345.90000000000003</v>
      </c>
    </row>
    <row r="72" spans="1:12" x14ac:dyDescent="0.3">
      <c r="A72" s="46" t="s">
        <v>166</v>
      </c>
      <c r="B72" s="25" t="s">
        <v>156</v>
      </c>
      <c r="C72" s="26"/>
      <c r="D72" s="43">
        <v>250</v>
      </c>
      <c r="G72" s="34">
        <v>3.6</v>
      </c>
      <c r="I72" s="44">
        <f>D72*G72</f>
        <v>900</v>
      </c>
      <c r="J72" s="45">
        <f t="shared" si="7"/>
        <v>900</v>
      </c>
      <c r="K72" s="34" t="s">
        <v>167</v>
      </c>
    </row>
    <row r="73" spans="1:12" x14ac:dyDescent="0.3">
      <c r="A73" s="2">
        <v>4.5</v>
      </c>
      <c r="B73" s="1" t="s">
        <v>168</v>
      </c>
      <c r="D73" s="43"/>
      <c r="G73" s="34"/>
      <c r="I73" s="44"/>
      <c r="J73" s="45"/>
    </row>
    <row r="74" spans="1:12" ht="14.15" x14ac:dyDescent="0.3">
      <c r="A74" s="46" t="s">
        <v>169</v>
      </c>
      <c r="B74" s="25" t="s">
        <v>170</v>
      </c>
      <c r="C74" s="25" t="s">
        <v>42</v>
      </c>
      <c r="D74" s="43">
        <v>3500</v>
      </c>
      <c r="E74" s="41">
        <v>0.21</v>
      </c>
      <c r="F74" s="42">
        <v>0.5</v>
      </c>
      <c r="G74" s="48">
        <f>0.5*1.153</f>
        <v>0.57650000000000001</v>
      </c>
      <c r="I74" s="48">
        <f>D74*G74</f>
        <v>2017.75</v>
      </c>
      <c r="J74" s="45">
        <f t="shared" si="7"/>
        <v>2017.75</v>
      </c>
    </row>
    <row r="75" spans="1:12" x14ac:dyDescent="0.3">
      <c r="A75" s="46"/>
      <c r="D75" s="43"/>
      <c r="G75" s="34"/>
      <c r="I75" s="44"/>
      <c r="J75" s="45"/>
    </row>
    <row r="76" spans="1:12" x14ac:dyDescent="0.3">
      <c r="A76" s="2">
        <v>5</v>
      </c>
      <c r="B76" s="1" t="s">
        <v>171</v>
      </c>
      <c r="D76" s="43"/>
      <c r="G76" s="34"/>
      <c r="I76" s="44"/>
      <c r="J76" s="45"/>
    </row>
    <row r="77" spans="1:12" x14ac:dyDescent="0.3">
      <c r="A77" s="46">
        <v>5.0999999999999996</v>
      </c>
      <c r="B77" s="25" t="s">
        <v>172</v>
      </c>
      <c r="C77" s="25" t="s">
        <v>23</v>
      </c>
      <c r="D77" s="59"/>
      <c r="E77" s="41">
        <v>4200</v>
      </c>
      <c r="F77" s="42">
        <v>4200</v>
      </c>
      <c r="G77" s="34"/>
      <c r="H77" s="42">
        <v>4200</v>
      </c>
      <c r="I77" s="44">
        <f t="shared" ref="I77" si="8">H77*1.153</f>
        <v>4842.6000000000004</v>
      </c>
      <c r="J77" s="45">
        <f t="shared" si="7"/>
        <v>4842.6000000000004</v>
      </c>
      <c r="K77" s="34" t="s">
        <v>24</v>
      </c>
    </row>
    <row r="78" spans="1:12" x14ac:dyDescent="0.3">
      <c r="A78" s="46"/>
      <c r="B78" s="3" t="s">
        <v>173</v>
      </c>
      <c r="D78" s="59"/>
      <c r="G78" s="34"/>
      <c r="I78" s="44">
        <f>SUM(I5:I77)</f>
        <v>284095.88043199998</v>
      </c>
      <c r="J78" s="45">
        <f>SUM(J5:J77)</f>
        <v>328738.3264374999</v>
      </c>
    </row>
    <row r="79" spans="1:12" x14ac:dyDescent="0.3">
      <c r="A79" s="46"/>
      <c r="B79" s="3"/>
      <c r="D79" s="59"/>
      <c r="G79" s="34"/>
      <c r="I79" s="44"/>
      <c r="J79" s="45"/>
    </row>
    <row r="80" spans="1:12" x14ac:dyDescent="0.3">
      <c r="A80" s="2">
        <v>6</v>
      </c>
      <c r="B80" s="1" t="s">
        <v>174</v>
      </c>
      <c r="D80" s="59"/>
      <c r="G80" s="34"/>
      <c r="I80" s="44"/>
      <c r="J80" s="45"/>
    </row>
    <row r="81" spans="1:15" s="4" customFormat="1" x14ac:dyDescent="0.3">
      <c r="A81" s="46">
        <v>6.1</v>
      </c>
      <c r="B81" s="47" t="s">
        <v>175</v>
      </c>
      <c r="C81" s="25" t="s">
        <v>176</v>
      </c>
      <c r="D81" s="87"/>
      <c r="E81" s="48">
        <v>7.0000000000000007E-2</v>
      </c>
      <c r="F81" s="48">
        <v>8.5000000000000006E-2</v>
      </c>
      <c r="G81" s="119">
        <v>8.5000000000000006E-2</v>
      </c>
      <c r="H81" s="48"/>
      <c r="I81" s="48">
        <f>I78*G81</f>
        <v>24148.14983672</v>
      </c>
      <c r="J81" s="48">
        <f>J78*G81</f>
        <v>27942.757747187494</v>
      </c>
      <c r="K81" s="34" t="s">
        <v>177</v>
      </c>
      <c r="L81" s="34"/>
      <c r="M81" s="34"/>
      <c r="N81" s="34"/>
      <c r="O81" s="34"/>
    </row>
    <row r="82" spans="1:15" x14ac:dyDescent="0.3">
      <c r="A82" s="46"/>
      <c r="D82" s="59"/>
      <c r="G82" s="34"/>
      <c r="I82" s="44"/>
      <c r="J82" s="45"/>
    </row>
    <row r="83" spans="1:15" x14ac:dyDescent="0.3">
      <c r="A83" s="46"/>
      <c r="B83" s="3" t="s">
        <v>178</v>
      </c>
      <c r="D83" s="59"/>
      <c r="G83" s="34"/>
      <c r="I83" s="16">
        <f>SUM(I78:I81)</f>
        <v>308244.03026872</v>
      </c>
      <c r="J83" s="17">
        <f>SUM(J78:J81)</f>
        <v>356681.08418468741</v>
      </c>
    </row>
    <row r="84" spans="1:15" x14ac:dyDescent="0.3">
      <c r="A84" s="46"/>
      <c r="B84" s="3"/>
      <c r="D84" s="59"/>
      <c r="G84" s="34"/>
      <c r="I84" s="44"/>
      <c r="J84" s="45"/>
    </row>
    <row r="85" spans="1:15" x14ac:dyDescent="0.3">
      <c r="A85" s="2">
        <v>7</v>
      </c>
      <c r="B85" s="1" t="s">
        <v>179</v>
      </c>
      <c r="D85" s="59"/>
      <c r="E85" s="41">
        <v>0.1</v>
      </c>
      <c r="G85" s="60">
        <v>0.1</v>
      </c>
      <c r="I85" s="44">
        <f>I83*G85</f>
        <v>30824.403026872002</v>
      </c>
      <c r="J85" s="45">
        <f>J83*G85</f>
        <v>35668.108418468742</v>
      </c>
    </row>
    <row r="86" spans="1:15" x14ac:dyDescent="0.3">
      <c r="A86" s="46"/>
      <c r="B86" s="3" t="s">
        <v>180</v>
      </c>
      <c r="D86" s="59"/>
      <c r="G86" s="34"/>
      <c r="I86" s="16">
        <f>SUM(I83:I85)</f>
        <v>339068.43329559203</v>
      </c>
      <c r="J86" s="17">
        <f>SUM(J83:J85)</f>
        <v>392349.19260315615</v>
      </c>
    </row>
    <row r="87" spans="1:15" x14ac:dyDescent="0.3">
      <c r="A87" s="46"/>
      <c r="B87" s="3"/>
      <c r="D87" s="59"/>
      <c r="G87" s="34"/>
      <c r="I87" s="44"/>
      <c r="J87" s="45"/>
    </row>
    <row r="88" spans="1:15" x14ac:dyDescent="0.3">
      <c r="A88" s="2">
        <v>8</v>
      </c>
      <c r="B88" s="1" t="s">
        <v>181</v>
      </c>
      <c r="C88" s="25" t="s">
        <v>182</v>
      </c>
      <c r="D88" s="43">
        <v>2</v>
      </c>
      <c r="E88" s="41">
        <v>3.5000000000000003E-2</v>
      </c>
      <c r="G88" s="34">
        <v>3.5000000000000003E-2</v>
      </c>
      <c r="I88" s="44">
        <f>I86*G88*D88</f>
        <v>23734.790330691445</v>
      </c>
      <c r="J88" s="45">
        <f>J86*G88*D88</f>
        <v>27464.443482220933</v>
      </c>
    </row>
    <row r="89" spans="1:15" x14ac:dyDescent="0.3">
      <c r="A89" s="46"/>
      <c r="B89" s="2"/>
      <c r="D89" s="59"/>
      <c r="G89" s="34"/>
      <c r="I89" s="44"/>
      <c r="J89" s="45"/>
    </row>
    <row r="90" spans="1:15" x14ac:dyDescent="0.3">
      <c r="A90" s="46"/>
      <c r="B90" s="3" t="s">
        <v>184</v>
      </c>
      <c r="D90" s="21"/>
      <c r="I90" s="18">
        <f>SUM(I86:I88)</f>
        <v>362803.22362628346</v>
      </c>
      <c r="J90" s="18">
        <f>SUM(J86:J88)</f>
        <v>419813.63608537707</v>
      </c>
    </row>
    <row r="91" spans="1:15" x14ac:dyDescent="0.3">
      <c r="A91" s="46"/>
      <c r="B91" s="3"/>
      <c r="D91" s="21"/>
      <c r="I91" s="16"/>
      <c r="J91" s="17"/>
    </row>
    <row r="92" spans="1:15" x14ac:dyDescent="0.3">
      <c r="A92" s="2">
        <v>9</v>
      </c>
      <c r="B92" s="1" t="s">
        <v>185</v>
      </c>
      <c r="D92" s="59"/>
      <c r="G92" s="34"/>
      <c r="I92" s="44"/>
      <c r="J92" s="45"/>
    </row>
    <row r="93" spans="1:15" x14ac:dyDescent="0.3">
      <c r="A93" s="46">
        <v>9.1</v>
      </c>
      <c r="B93" s="25" t="s">
        <v>186</v>
      </c>
      <c r="C93" s="25" t="s">
        <v>187</v>
      </c>
      <c r="D93" s="43">
        <v>6</v>
      </c>
      <c r="E93" s="41">
        <v>300</v>
      </c>
      <c r="F93" s="42">
        <v>300</v>
      </c>
      <c r="G93" s="34">
        <f>F93*1.153</f>
        <v>345.90000000000003</v>
      </c>
      <c r="I93" s="44">
        <f>D93*G93</f>
        <v>2075.4</v>
      </c>
      <c r="J93" s="45">
        <f>I93</f>
        <v>2075.4</v>
      </c>
    </row>
    <row r="94" spans="1:15" x14ac:dyDescent="0.3">
      <c r="A94" s="46">
        <v>9.1999999999999993</v>
      </c>
      <c r="B94" s="25" t="s">
        <v>188</v>
      </c>
      <c r="C94" s="25" t="s">
        <v>182</v>
      </c>
      <c r="D94" s="43">
        <v>1</v>
      </c>
      <c r="E94" s="41">
        <v>750</v>
      </c>
      <c r="F94" s="42">
        <v>750</v>
      </c>
      <c r="G94" s="34">
        <f>F94*1.153</f>
        <v>864.75</v>
      </c>
      <c r="I94" s="44">
        <f>D94*G94</f>
        <v>864.75</v>
      </c>
      <c r="J94" s="45">
        <f>I94</f>
        <v>864.75</v>
      </c>
      <c r="K94" s="36"/>
    </row>
    <row r="95" spans="1:15" x14ac:dyDescent="0.3">
      <c r="A95" s="37" t="s">
        <v>189</v>
      </c>
      <c r="B95" s="32" t="s">
        <v>190</v>
      </c>
      <c r="D95" s="43"/>
      <c r="G95" s="34"/>
      <c r="I95" s="44"/>
      <c r="J95" s="34"/>
      <c r="K95" s="36"/>
    </row>
    <row r="96" spans="1:15" x14ac:dyDescent="0.3">
      <c r="A96" s="37" t="s">
        <v>191</v>
      </c>
      <c r="B96" s="32" t="s">
        <v>192</v>
      </c>
      <c r="C96" s="25" t="s">
        <v>133</v>
      </c>
      <c r="D96" s="56">
        <f>SUM(D70,D61, D56)*0.2</f>
        <v>0.59344000000000008</v>
      </c>
      <c r="E96" s="41">
        <v>2000</v>
      </c>
      <c r="F96" s="42">
        <v>2000</v>
      </c>
      <c r="G96" s="34">
        <f>F96*1.153</f>
        <v>2306</v>
      </c>
      <c r="I96" s="44">
        <f>D96*G96</f>
        <v>1368.4726400000002</v>
      </c>
      <c r="J96" s="34"/>
      <c r="K96" s="34" t="s">
        <v>193</v>
      </c>
    </row>
    <row r="97" spans="1:625" x14ac:dyDescent="0.3">
      <c r="A97" s="37" t="s">
        <v>194</v>
      </c>
      <c r="B97" s="32" t="s">
        <v>195</v>
      </c>
      <c r="C97" s="26"/>
      <c r="D97" s="43">
        <f>D96*10000*0.15</f>
        <v>890.16000000000008</v>
      </c>
      <c r="E97" s="41">
        <v>4</v>
      </c>
      <c r="F97" s="42">
        <v>4</v>
      </c>
      <c r="G97" s="34">
        <f>F97*1.153</f>
        <v>4.6120000000000001</v>
      </c>
      <c r="I97" s="44">
        <f>D97*G97</f>
        <v>4105.4179200000008</v>
      </c>
      <c r="J97" s="34"/>
      <c r="K97" s="34" t="s">
        <v>196</v>
      </c>
    </row>
    <row r="98" spans="1:625" x14ac:dyDescent="0.3">
      <c r="A98" s="37" t="s">
        <v>197</v>
      </c>
      <c r="B98" s="32" t="s">
        <v>198</v>
      </c>
      <c r="C98" s="25" t="s">
        <v>133</v>
      </c>
      <c r="D98" s="56">
        <f>D96/2</f>
        <v>0.29672000000000004</v>
      </c>
      <c r="E98" s="41">
        <v>2000</v>
      </c>
      <c r="F98" s="42">
        <v>2000</v>
      </c>
      <c r="G98" s="34">
        <f t="shared" ref="G98:G99" si="9">F98*1.153</f>
        <v>2306</v>
      </c>
      <c r="I98" s="44">
        <f>D98*G98</f>
        <v>684.23632000000009</v>
      </c>
      <c r="J98" s="34"/>
      <c r="K98" s="34" t="s">
        <v>199</v>
      </c>
    </row>
    <row r="99" spans="1:625" x14ac:dyDescent="0.3">
      <c r="A99" s="37" t="s">
        <v>200</v>
      </c>
      <c r="B99" s="32" t="s">
        <v>201</v>
      </c>
      <c r="C99" s="25" t="s">
        <v>182</v>
      </c>
      <c r="D99" s="59">
        <v>8</v>
      </c>
      <c r="E99" s="41">
        <v>500</v>
      </c>
      <c r="F99" s="42">
        <v>500</v>
      </c>
      <c r="G99" s="34">
        <f t="shared" si="9"/>
        <v>576.5</v>
      </c>
      <c r="I99" s="44">
        <f>D99*G99</f>
        <v>4612</v>
      </c>
      <c r="J99" s="34"/>
      <c r="K99" s="34" t="s">
        <v>202</v>
      </c>
    </row>
    <row r="100" spans="1:625" x14ac:dyDescent="0.3">
      <c r="A100" s="37" t="s">
        <v>203</v>
      </c>
      <c r="B100" s="32" t="s">
        <v>204</v>
      </c>
      <c r="D100" s="43">
        <v>250</v>
      </c>
      <c r="G100" s="34">
        <v>3.6</v>
      </c>
      <c r="I100" s="44">
        <f>G100*D100</f>
        <v>900</v>
      </c>
      <c r="J100" s="34"/>
      <c r="K100" s="34" t="s">
        <v>205</v>
      </c>
    </row>
    <row r="101" spans="1:625" x14ac:dyDescent="0.3">
      <c r="A101" s="54" t="s">
        <v>206</v>
      </c>
      <c r="B101" s="22" t="s">
        <v>207</v>
      </c>
      <c r="D101" s="59"/>
      <c r="G101" s="34"/>
      <c r="I101" s="34"/>
      <c r="J101" s="45"/>
      <c r="K101" s="36"/>
    </row>
    <row r="102" spans="1:625" x14ac:dyDescent="0.3">
      <c r="A102" s="54" t="s">
        <v>208</v>
      </c>
      <c r="B102" s="22" t="s">
        <v>192</v>
      </c>
      <c r="C102" s="25" t="s">
        <v>133</v>
      </c>
      <c r="D102" s="56">
        <f>SUM(D70,D65,D56)*0.2</f>
        <v>0.91705000000000014</v>
      </c>
      <c r="F102" s="42">
        <v>2000</v>
      </c>
      <c r="G102" s="34">
        <f>F102*1.153</f>
        <v>2306</v>
      </c>
      <c r="I102" s="34"/>
      <c r="J102" s="45">
        <f t="shared" ref="J102:J109" si="10">G102*D102</f>
        <v>2114.7173000000003</v>
      </c>
      <c r="K102" s="34" t="s">
        <v>193</v>
      </c>
    </row>
    <row r="103" spans="1:625" x14ac:dyDescent="0.3">
      <c r="A103" s="54" t="s">
        <v>209</v>
      </c>
      <c r="B103" s="22" t="s">
        <v>195</v>
      </c>
      <c r="D103" s="43">
        <f>D102*10000*0.15</f>
        <v>1375.5750000000003</v>
      </c>
      <c r="F103" s="42">
        <v>4</v>
      </c>
      <c r="G103" s="34">
        <f>F103*1.153</f>
        <v>4.6120000000000001</v>
      </c>
      <c r="I103" s="34"/>
      <c r="J103" s="45">
        <f t="shared" si="10"/>
        <v>6344.1519000000017</v>
      </c>
      <c r="K103" s="34" t="s">
        <v>196</v>
      </c>
    </row>
    <row r="104" spans="1:625" x14ac:dyDescent="0.3">
      <c r="A104" s="54" t="s">
        <v>210</v>
      </c>
      <c r="B104" s="22" t="s">
        <v>211</v>
      </c>
      <c r="C104" s="25" t="s">
        <v>133</v>
      </c>
      <c r="D104" s="56">
        <f>D102/2</f>
        <v>0.45852500000000007</v>
      </c>
      <c r="F104" s="42">
        <v>2000</v>
      </c>
      <c r="G104" s="34">
        <f t="shared" ref="G104:G105" si="11">F104*1.153</f>
        <v>2306</v>
      </c>
      <c r="I104" s="34"/>
      <c r="J104" s="45">
        <f t="shared" si="10"/>
        <v>1057.3586500000001</v>
      </c>
      <c r="K104" s="34" t="s">
        <v>199</v>
      </c>
    </row>
    <row r="105" spans="1:625" x14ac:dyDescent="0.3">
      <c r="A105" s="54" t="s">
        <v>212</v>
      </c>
      <c r="B105" s="22" t="s">
        <v>201</v>
      </c>
      <c r="C105" s="26" t="s">
        <v>182</v>
      </c>
      <c r="D105" s="43">
        <v>8</v>
      </c>
      <c r="E105" s="41">
        <v>500</v>
      </c>
      <c r="F105" s="42">
        <v>500</v>
      </c>
      <c r="G105" s="34">
        <f t="shared" si="11"/>
        <v>576.5</v>
      </c>
      <c r="I105" s="34"/>
      <c r="J105" s="45">
        <f t="shared" si="10"/>
        <v>4612</v>
      </c>
      <c r="K105" s="34" t="s">
        <v>202</v>
      </c>
    </row>
    <row r="106" spans="1:625" x14ac:dyDescent="0.3">
      <c r="A106" s="54" t="s">
        <v>213</v>
      </c>
      <c r="B106" s="22" t="s">
        <v>204</v>
      </c>
      <c r="C106" s="26"/>
      <c r="D106" s="43">
        <v>750</v>
      </c>
      <c r="G106" s="34">
        <v>3.6</v>
      </c>
      <c r="I106" s="34"/>
      <c r="J106" s="45">
        <f t="shared" si="10"/>
        <v>2700</v>
      </c>
      <c r="K106" s="36" t="s">
        <v>205</v>
      </c>
    </row>
    <row r="107" spans="1:625" x14ac:dyDescent="0.3">
      <c r="A107" s="54">
        <v>9.4</v>
      </c>
      <c r="B107" s="22" t="s">
        <v>215</v>
      </c>
      <c r="C107" s="26" t="s">
        <v>216</v>
      </c>
      <c r="D107" s="59">
        <v>1</v>
      </c>
      <c r="E107" s="34"/>
      <c r="F107" s="34"/>
      <c r="G107" s="48">
        <f>'GeotechRevised for 2017'!C15</f>
        <v>13399.3</v>
      </c>
      <c r="H107" s="34"/>
      <c r="I107" s="34"/>
      <c r="J107" s="48">
        <f t="shared" si="10"/>
        <v>13399.3</v>
      </c>
      <c r="K107" s="36" t="s">
        <v>217</v>
      </c>
    </row>
    <row r="108" spans="1:625" x14ac:dyDescent="0.3">
      <c r="A108" s="46">
        <v>9.5</v>
      </c>
      <c r="B108" s="25" t="s">
        <v>218</v>
      </c>
      <c r="C108" s="26" t="s">
        <v>216</v>
      </c>
      <c r="D108" s="59">
        <v>1</v>
      </c>
      <c r="G108" s="48">
        <f>'WaterRevised for 2017'!D20</f>
        <v>20031.149999999998</v>
      </c>
      <c r="I108" s="48">
        <f>G108*D108</f>
        <v>20031.149999999998</v>
      </c>
      <c r="J108" s="48">
        <f t="shared" si="10"/>
        <v>20031.149999999998</v>
      </c>
    </row>
    <row r="109" spans="1:625" x14ac:dyDescent="0.3">
      <c r="A109" s="46">
        <v>9.6</v>
      </c>
      <c r="B109" s="25" t="s">
        <v>219</v>
      </c>
      <c r="C109" s="26" t="s">
        <v>35</v>
      </c>
      <c r="D109" s="43">
        <v>778</v>
      </c>
      <c r="G109" s="34">
        <f>4*1.153</f>
        <v>4.6120000000000001</v>
      </c>
      <c r="I109" s="44">
        <f>G109*D109</f>
        <v>3588.136</v>
      </c>
      <c r="J109" s="45">
        <f t="shared" si="10"/>
        <v>3588.136</v>
      </c>
      <c r="K109" s="36" t="s">
        <v>220</v>
      </c>
    </row>
    <row r="110" spans="1:625" x14ac:dyDescent="0.3">
      <c r="A110" s="46"/>
      <c r="C110" s="26"/>
      <c r="D110" s="59"/>
      <c r="G110" s="34"/>
      <c r="I110" s="44"/>
      <c r="J110" s="45"/>
      <c r="K110" s="36"/>
    </row>
    <row r="111" spans="1:625" x14ac:dyDescent="0.3">
      <c r="A111" s="46">
        <v>9.6</v>
      </c>
      <c r="B111" s="25" t="s">
        <v>221</v>
      </c>
      <c r="C111" s="25" t="s">
        <v>182</v>
      </c>
      <c r="D111" s="43">
        <v>10</v>
      </c>
      <c r="E111" s="41">
        <v>1000</v>
      </c>
      <c r="F111" s="42">
        <v>1000</v>
      </c>
      <c r="G111" s="34">
        <f>F111*1.153</f>
        <v>1153</v>
      </c>
      <c r="I111" s="44">
        <f>D111*G111</f>
        <v>11530</v>
      </c>
      <c r="J111" s="45">
        <f>I111</f>
        <v>11530</v>
      </c>
      <c r="K111" s="34" t="s">
        <v>24</v>
      </c>
    </row>
    <row r="112" spans="1:625" x14ac:dyDescent="0.3">
      <c r="A112" s="46"/>
      <c r="B112" s="3" t="s">
        <v>222</v>
      </c>
      <c r="D112" s="59"/>
      <c r="G112" s="61"/>
      <c r="I112" s="16">
        <f>SUM(I93:I111)</f>
        <v>49759.562879999998</v>
      </c>
      <c r="J112" s="17">
        <f>SUM(J93:J111)</f>
        <v>68316.96385</v>
      </c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  <c r="GK112" s="36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  <c r="HF112" s="36"/>
      <c r="HG112" s="36"/>
      <c r="HH112" s="36"/>
      <c r="HI112" s="36"/>
      <c r="HJ112" s="36"/>
      <c r="HK112" s="36"/>
      <c r="HL112" s="36"/>
      <c r="HM112" s="36"/>
      <c r="HN112" s="36"/>
      <c r="HO112" s="36"/>
      <c r="HP112" s="36"/>
      <c r="HQ112" s="36"/>
      <c r="HR112" s="36"/>
      <c r="HS112" s="36"/>
      <c r="HT112" s="36"/>
      <c r="HU112" s="36"/>
      <c r="HV112" s="36"/>
      <c r="HW112" s="36"/>
      <c r="HX112" s="36"/>
      <c r="HY112" s="36"/>
      <c r="HZ112" s="36"/>
      <c r="IA112" s="36"/>
      <c r="IB112" s="36"/>
      <c r="IC112" s="36"/>
      <c r="ID112" s="36"/>
      <c r="IE112" s="36"/>
      <c r="IF112" s="36"/>
      <c r="IG112" s="36"/>
      <c r="IH112" s="36"/>
      <c r="II112" s="36"/>
      <c r="IJ112" s="36"/>
      <c r="IK112" s="36"/>
      <c r="IL112" s="36"/>
      <c r="IM112" s="36"/>
      <c r="IN112" s="36"/>
      <c r="IO112" s="36"/>
      <c r="IP112" s="36"/>
      <c r="IQ112" s="36"/>
      <c r="IR112" s="36"/>
      <c r="IS112" s="36"/>
      <c r="IT112" s="36"/>
      <c r="IU112" s="36"/>
      <c r="IV112" s="36"/>
      <c r="IW112" s="36"/>
      <c r="IX112" s="36"/>
      <c r="IY112" s="36"/>
      <c r="IZ112" s="36"/>
      <c r="JA112" s="36"/>
      <c r="JB112" s="36"/>
      <c r="JC112" s="36"/>
      <c r="JD112" s="36"/>
      <c r="JE112" s="36"/>
      <c r="JF112" s="36"/>
      <c r="JG112" s="36"/>
      <c r="JH112" s="36"/>
      <c r="JI112" s="36"/>
      <c r="JJ112" s="36"/>
      <c r="JK112" s="36"/>
      <c r="JL112" s="36"/>
      <c r="JM112" s="36"/>
      <c r="JN112" s="36"/>
      <c r="JO112" s="36"/>
      <c r="JP112" s="36"/>
      <c r="JQ112" s="36"/>
      <c r="JR112" s="36"/>
      <c r="JS112" s="36"/>
      <c r="JT112" s="36"/>
      <c r="JU112" s="36"/>
      <c r="JV112" s="36"/>
      <c r="JW112" s="36"/>
      <c r="JX112" s="36"/>
      <c r="JY112" s="36"/>
      <c r="JZ112" s="36"/>
      <c r="KA112" s="36"/>
      <c r="KB112" s="36"/>
      <c r="KC112" s="36"/>
      <c r="KD112" s="36"/>
      <c r="KE112" s="36"/>
      <c r="KF112" s="36"/>
      <c r="KG112" s="36"/>
      <c r="KH112" s="36"/>
      <c r="KI112" s="36"/>
      <c r="KJ112" s="36"/>
      <c r="KK112" s="36"/>
      <c r="KL112" s="36"/>
      <c r="KM112" s="36"/>
      <c r="KN112" s="36"/>
      <c r="KO112" s="36"/>
      <c r="KP112" s="36"/>
      <c r="KQ112" s="36"/>
      <c r="KR112" s="36"/>
      <c r="KS112" s="36"/>
      <c r="KT112" s="36"/>
      <c r="KU112" s="36"/>
      <c r="KV112" s="36"/>
      <c r="KW112" s="36"/>
      <c r="KX112" s="36"/>
      <c r="KY112" s="36"/>
      <c r="KZ112" s="36"/>
      <c r="LA112" s="36"/>
      <c r="LB112" s="36"/>
      <c r="LC112" s="36"/>
      <c r="LD112" s="36"/>
      <c r="LE112" s="36"/>
      <c r="LF112" s="36"/>
      <c r="LG112" s="36"/>
      <c r="LH112" s="36"/>
      <c r="LI112" s="36"/>
      <c r="LJ112" s="36"/>
      <c r="LK112" s="36"/>
      <c r="LL112" s="36"/>
      <c r="LM112" s="36"/>
      <c r="LN112" s="36"/>
      <c r="LO112" s="36"/>
      <c r="LP112" s="36"/>
      <c r="LQ112" s="36"/>
      <c r="LR112" s="36"/>
      <c r="LS112" s="36"/>
      <c r="LT112" s="36"/>
      <c r="LU112" s="36"/>
      <c r="LV112" s="36"/>
      <c r="LW112" s="36"/>
      <c r="LX112" s="36"/>
      <c r="LY112" s="36"/>
      <c r="LZ112" s="36"/>
      <c r="MA112" s="36"/>
      <c r="MB112" s="36"/>
      <c r="MC112" s="36"/>
      <c r="MD112" s="36"/>
      <c r="ME112" s="36"/>
      <c r="MF112" s="36"/>
      <c r="MG112" s="36"/>
      <c r="MH112" s="36"/>
      <c r="MI112" s="36"/>
      <c r="MJ112" s="36"/>
      <c r="MK112" s="36"/>
      <c r="ML112" s="36"/>
      <c r="MM112" s="36"/>
      <c r="MN112" s="36"/>
      <c r="MO112" s="36"/>
      <c r="MP112" s="36"/>
      <c r="MQ112" s="36"/>
      <c r="MR112" s="36"/>
      <c r="MS112" s="36"/>
      <c r="MT112" s="36"/>
      <c r="MU112" s="36"/>
      <c r="MV112" s="36"/>
      <c r="MW112" s="36"/>
      <c r="MX112" s="36"/>
      <c r="MY112" s="36"/>
      <c r="MZ112" s="36"/>
      <c r="NA112" s="36"/>
      <c r="NB112" s="36"/>
      <c r="NC112" s="36"/>
      <c r="ND112" s="36"/>
      <c r="NE112" s="36"/>
      <c r="NF112" s="36"/>
      <c r="NG112" s="36"/>
      <c r="NH112" s="36"/>
      <c r="NI112" s="36"/>
      <c r="NJ112" s="36"/>
      <c r="NK112" s="36"/>
      <c r="NL112" s="36"/>
      <c r="NM112" s="36"/>
      <c r="NN112" s="36"/>
      <c r="NO112" s="36"/>
      <c r="NP112" s="36"/>
      <c r="NQ112" s="36"/>
      <c r="NR112" s="36"/>
      <c r="NS112" s="36"/>
      <c r="NT112" s="36"/>
      <c r="NU112" s="36"/>
      <c r="NV112" s="36"/>
      <c r="NW112" s="36"/>
      <c r="NX112" s="36"/>
      <c r="NY112" s="36"/>
      <c r="NZ112" s="36"/>
      <c r="OA112" s="36"/>
      <c r="OB112" s="36"/>
      <c r="OC112" s="36"/>
      <c r="OD112" s="36"/>
      <c r="OE112" s="36"/>
      <c r="OF112" s="36"/>
      <c r="OG112" s="36"/>
      <c r="OH112" s="36"/>
      <c r="OI112" s="36"/>
      <c r="OJ112" s="36"/>
      <c r="OK112" s="36"/>
      <c r="OL112" s="36"/>
      <c r="OM112" s="36"/>
      <c r="ON112" s="36"/>
      <c r="OO112" s="36"/>
      <c r="OP112" s="36"/>
      <c r="OQ112" s="36"/>
      <c r="OR112" s="36"/>
      <c r="OS112" s="36"/>
      <c r="OT112" s="36"/>
      <c r="OU112" s="36"/>
      <c r="OV112" s="36"/>
      <c r="OW112" s="36"/>
      <c r="OX112" s="36"/>
      <c r="OY112" s="36"/>
      <c r="OZ112" s="36"/>
      <c r="PA112" s="36"/>
      <c r="PB112" s="36"/>
      <c r="PC112" s="36"/>
      <c r="PD112" s="36"/>
      <c r="PE112" s="36"/>
      <c r="PF112" s="36"/>
      <c r="PG112" s="36"/>
      <c r="PH112" s="36"/>
      <c r="PI112" s="36"/>
      <c r="PJ112" s="36"/>
      <c r="PK112" s="36"/>
      <c r="PL112" s="36"/>
      <c r="PM112" s="36"/>
      <c r="PN112" s="36"/>
      <c r="PO112" s="36"/>
      <c r="PP112" s="36"/>
      <c r="PQ112" s="36"/>
      <c r="PR112" s="36"/>
      <c r="PS112" s="36"/>
      <c r="PT112" s="36"/>
      <c r="PU112" s="36"/>
      <c r="PV112" s="36"/>
      <c r="PW112" s="36"/>
      <c r="PX112" s="36"/>
      <c r="PY112" s="36"/>
      <c r="PZ112" s="36"/>
      <c r="QA112" s="36"/>
      <c r="QB112" s="36"/>
      <c r="QC112" s="36"/>
      <c r="QD112" s="36"/>
      <c r="QE112" s="36"/>
      <c r="QF112" s="36"/>
      <c r="QG112" s="36"/>
      <c r="QH112" s="36"/>
      <c r="QI112" s="36"/>
      <c r="QJ112" s="36"/>
      <c r="QK112" s="36"/>
      <c r="QL112" s="36"/>
      <c r="QM112" s="36"/>
      <c r="QN112" s="36"/>
      <c r="QO112" s="36"/>
      <c r="QP112" s="36"/>
      <c r="QQ112" s="36"/>
      <c r="QR112" s="36"/>
      <c r="QS112" s="36"/>
      <c r="QT112" s="36"/>
      <c r="QU112" s="36"/>
      <c r="QV112" s="36"/>
      <c r="QW112" s="36"/>
      <c r="QX112" s="36"/>
      <c r="QY112" s="36"/>
      <c r="QZ112" s="36"/>
      <c r="RA112" s="36"/>
      <c r="RB112" s="36"/>
      <c r="RC112" s="36"/>
      <c r="RD112" s="36"/>
      <c r="RE112" s="36"/>
      <c r="RF112" s="36"/>
      <c r="RG112" s="36"/>
      <c r="RH112" s="36"/>
      <c r="RI112" s="36"/>
      <c r="RJ112" s="36"/>
      <c r="RK112" s="36"/>
      <c r="RL112" s="36"/>
      <c r="RM112" s="36"/>
      <c r="RN112" s="36"/>
      <c r="RO112" s="36"/>
      <c r="RP112" s="36"/>
      <c r="RQ112" s="36"/>
      <c r="RR112" s="36"/>
      <c r="RS112" s="36"/>
      <c r="RT112" s="36"/>
      <c r="RU112" s="36"/>
      <c r="RV112" s="36"/>
      <c r="RW112" s="36"/>
      <c r="RX112" s="36"/>
      <c r="RY112" s="36"/>
      <c r="RZ112" s="36"/>
      <c r="SA112" s="36"/>
      <c r="SB112" s="36"/>
      <c r="SC112" s="36"/>
      <c r="SD112" s="36"/>
      <c r="SE112" s="36"/>
      <c r="SF112" s="36"/>
      <c r="SG112" s="36"/>
      <c r="SH112" s="36"/>
      <c r="SI112" s="36"/>
      <c r="SJ112" s="36"/>
      <c r="SK112" s="36"/>
      <c r="SL112" s="36"/>
      <c r="SM112" s="36"/>
      <c r="SN112" s="36"/>
      <c r="SO112" s="36"/>
      <c r="SP112" s="36"/>
      <c r="SQ112" s="36"/>
      <c r="SR112" s="36"/>
      <c r="SS112" s="36"/>
      <c r="ST112" s="36"/>
      <c r="SU112" s="36"/>
      <c r="SV112" s="36"/>
      <c r="SW112" s="36"/>
      <c r="SX112" s="36"/>
      <c r="SY112" s="36"/>
      <c r="SZ112" s="36"/>
      <c r="TA112" s="36"/>
      <c r="TB112" s="36"/>
      <c r="TC112" s="36"/>
      <c r="TD112" s="36"/>
      <c r="TE112" s="36"/>
      <c r="TF112" s="36"/>
      <c r="TG112" s="36"/>
      <c r="TH112" s="36"/>
      <c r="TI112" s="36"/>
      <c r="TJ112" s="36"/>
      <c r="TK112" s="36"/>
      <c r="TL112" s="36"/>
      <c r="TM112" s="36"/>
      <c r="TN112" s="36"/>
      <c r="TO112" s="36"/>
      <c r="TP112" s="36"/>
      <c r="TQ112" s="36"/>
      <c r="TR112" s="36"/>
      <c r="TS112" s="36"/>
      <c r="TT112" s="36"/>
      <c r="TU112" s="36"/>
      <c r="TV112" s="36"/>
      <c r="TW112" s="36"/>
      <c r="TX112" s="36"/>
      <c r="TY112" s="36"/>
      <c r="TZ112" s="36"/>
      <c r="UA112" s="36"/>
      <c r="UB112" s="36"/>
      <c r="UC112" s="36"/>
      <c r="UD112" s="36"/>
      <c r="UE112" s="36"/>
      <c r="UF112" s="36"/>
      <c r="UG112" s="36"/>
      <c r="UH112" s="36"/>
      <c r="UI112" s="36"/>
      <c r="UJ112" s="36"/>
      <c r="UK112" s="36"/>
      <c r="UL112" s="36"/>
      <c r="UM112" s="36"/>
      <c r="UN112" s="36"/>
      <c r="UO112" s="36"/>
      <c r="UP112" s="36"/>
      <c r="UQ112" s="36"/>
      <c r="UR112" s="36"/>
      <c r="US112" s="36"/>
      <c r="UT112" s="36"/>
      <c r="UU112" s="36"/>
      <c r="UV112" s="36"/>
      <c r="UW112" s="36"/>
      <c r="UX112" s="36"/>
      <c r="UY112" s="36"/>
      <c r="UZ112" s="36"/>
      <c r="VA112" s="36"/>
      <c r="VB112" s="36"/>
      <c r="VC112" s="36"/>
      <c r="VD112" s="36"/>
      <c r="VE112" s="36"/>
      <c r="VF112" s="36"/>
      <c r="VG112" s="36"/>
      <c r="VH112" s="36"/>
      <c r="VI112" s="36"/>
      <c r="VJ112" s="36"/>
      <c r="VK112" s="36"/>
      <c r="VL112" s="36"/>
      <c r="VM112" s="36"/>
      <c r="VN112" s="36"/>
      <c r="VO112" s="36"/>
      <c r="VP112" s="36"/>
      <c r="VQ112" s="36"/>
      <c r="VR112" s="36"/>
      <c r="VS112" s="36"/>
      <c r="VT112" s="36"/>
      <c r="VU112" s="36"/>
      <c r="VV112" s="36"/>
      <c r="VW112" s="36"/>
      <c r="VX112" s="36"/>
      <c r="VY112" s="36"/>
      <c r="VZ112" s="36"/>
      <c r="WA112" s="36"/>
      <c r="WB112" s="36"/>
      <c r="WC112" s="36"/>
      <c r="WD112" s="36"/>
      <c r="WE112" s="36"/>
      <c r="WF112" s="36"/>
      <c r="WG112" s="36"/>
      <c r="WH112" s="36"/>
      <c r="WI112" s="36"/>
      <c r="WJ112" s="36"/>
      <c r="WK112" s="36"/>
      <c r="WL112" s="36"/>
      <c r="WM112" s="36"/>
      <c r="WN112" s="36"/>
      <c r="WO112" s="36"/>
      <c r="WP112" s="36"/>
      <c r="WQ112" s="36"/>
      <c r="WR112" s="36"/>
      <c r="WS112" s="36"/>
      <c r="WT112" s="36"/>
      <c r="WU112" s="36"/>
      <c r="WV112" s="36"/>
      <c r="WW112" s="36"/>
      <c r="WX112" s="36"/>
      <c r="WY112" s="36"/>
      <c r="WZ112" s="36"/>
      <c r="XA112" s="36"/>
    </row>
    <row r="113" spans="1:11" x14ac:dyDescent="0.3">
      <c r="A113" s="46"/>
      <c r="B113" s="3"/>
      <c r="D113" s="59"/>
      <c r="G113" s="61"/>
      <c r="I113" s="44"/>
      <c r="J113" s="45"/>
    </row>
    <row r="114" spans="1:11" x14ac:dyDescent="0.3">
      <c r="A114" s="2">
        <v>10</v>
      </c>
      <c r="B114" s="1" t="s">
        <v>179</v>
      </c>
      <c r="D114" s="59"/>
      <c r="E114" s="41">
        <v>0.1</v>
      </c>
      <c r="G114" s="60">
        <v>0.1</v>
      </c>
      <c r="I114" s="44">
        <f>I112*G114</f>
        <v>4975.9562880000003</v>
      </c>
      <c r="J114" s="45">
        <f>J112*G114</f>
        <v>6831.6963850000002</v>
      </c>
    </row>
    <row r="115" spans="1:11" x14ac:dyDescent="0.3">
      <c r="A115" s="2"/>
      <c r="B115" s="3" t="s">
        <v>231</v>
      </c>
      <c r="D115" s="59"/>
      <c r="G115" s="62"/>
      <c r="I115" s="16">
        <f>SUM(I112:I114)</f>
        <v>54735.519167999999</v>
      </c>
      <c r="J115" s="17">
        <f>SUM(J112:J114)</f>
        <v>75148.660235000003</v>
      </c>
    </row>
    <row r="116" spans="1:11" x14ac:dyDescent="0.3">
      <c r="A116" s="46"/>
      <c r="B116" s="3"/>
      <c r="D116" s="59"/>
      <c r="G116" s="62"/>
      <c r="I116" s="44"/>
      <c r="J116" s="45"/>
      <c r="K116" s="36"/>
    </row>
    <row r="117" spans="1:11" x14ac:dyDescent="0.3">
      <c r="A117" s="2">
        <v>11</v>
      </c>
      <c r="B117" s="1" t="s">
        <v>181</v>
      </c>
      <c r="C117" s="25" t="s">
        <v>182</v>
      </c>
      <c r="D117" s="43">
        <v>2</v>
      </c>
      <c r="E117" s="41">
        <v>3.5000000000000003E-2</v>
      </c>
      <c r="G117" s="63">
        <v>3.5000000000000003E-2</v>
      </c>
      <c r="I117" s="44">
        <f>I115*G117*D117</f>
        <v>3831.4863417600004</v>
      </c>
      <c r="J117" s="45">
        <f>J115*E117*D117</f>
        <v>5260.406216450001</v>
      </c>
    </row>
    <row r="118" spans="1:11" x14ac:dyDescent="0.3">
      <c r="A118" s="46"/>
      <c r="B118" s="2"/>
      <c r="D118" s="21"/>
      <c r="G118" s="10"/>
      <c r="I118" s="16"/>
      <c r="J118" s="17"/>
    </row>
    <row r="119" spans="1:11" x14ac:dyDescent="0.3">
      <c r="A119" s="46"/>
      <c r="B119" s="3" t="s">
        <v>232</v>
      </c>
      <c r="D119" s="21"/>
      <c r="G119" s="10"/>
      <c r="I119" s="18">
        <f>SUM(I115:I117)</f>
        <v>58567.005509759998</v>
      </c>
      <c r="J119" s="18">
        <f>SUM(J115:J117)</f>
        <v>80409.066451450009</v>
      </c>
    </row>
    <row r="120" spans="1:11" x14ac:dyDescent="0.3">
      <c r="A120" s="46"/>
      <c r="B120" s="3"/>
      <c r="D120" s="21"/>
      <c r="G120" s="11"/>
      <c r="I120" s="16"/>
      <c r="J120" s="17"/>
    </row>
    <row r="121" spans="1:11" x14ac:dyDescent="0.3">
      <c r="B121" s="3" t="s">
        <v>233</v>
      </c>
      <c r="G121" s="10"/>
      <c r="I121" s="19">
        <f>SUM(I90,I119)</f>
        <v>421370.22913604346</v>
      </c>
      <c r="J121" s="19">
        <f>SUM(J90,J119)</f>
        <v>500222.70253682707</v>
      </c>
    </row>
  </sheetData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A121"/>
  <sheetViews>
    <sheetView zoomScale="70" zoomScaleNormal="70" workbookViewId="0">
      <pane xSplit="2" ySplit="4" topLeftCell="C77" activePane="bottomRight" state="frozen"/>
      <selection pane="topRight" activeCell="C1" sqref="C1"/>
      <selection pane="bottomLeft" activeCell="A5" sqref="A5"/>
      <selection pane="bottomRight" activeCell="D55" sqref="D55:G55"/>
    </sheetView>
  </sheetViews>
  <sheetFormatPr defaultColWidth="9.15234375" defaultRowHeight="12.45" x14ac:dyDescent="0.3"/>
  <cols>
    <col min="1" max="1" width="9.23046875" style="4" bestFit="1" customWidth="1"/>
    <col min="2" max="2" width="72.23046875" style="4" bestFit="1" customWidth="1"/>
    <col min="3" max="3" width="5.84375" style="4" customWidth="1"/>
    <col min="4" max="4" width="12.84375" style="20" customWidth="1"/>
    <col min="5" max="5" width="12.15234375" style="7" hidden="1" customWidth="1"/>
    <col min="6" max="6" width="16.23046875" style="6" hidden="1" customWidth="1"/>
    <col min="7" max="7" width="11.84375" style="9" bestFit="1" customWidth="1"/>
    <col min="8" max="8" width="17.23046875" style="6" hidden="1" customWidth="1"/>
    <col min="9" max="9" width="19.15234375" style="9" bestFit="1" customWidth="1"/>
    <col min="10" max="10" width="15.69140625" style="9" bestFit="1" customWidth="1"/>
    <col min="11" max="11" width="60.69140625" style="8" customWidth="1"/>
    <col min="12" max="15" width="9.15234375" style="8"/>
    <col min="16" max="16384" width="9.15234375" style="4"/>
  </cols>
  <sheetData>
    <row r="1" spans="1:12" x14ac:dyDescent="0.3">
      <c r="A1" s="1" t="s">
        <v>0</v>
      </c>
      <c r="B1" s="25"/>
      <c r="C1" s="25"/>
      <c r="E1" s="41"/>
      <c r="F1" s="42"/>
      <c r="H1" s="42"/>
      <c r="I1" s="16" t="s">
        <v>1</v>
      </c>
      <c r="J1" s="17" t="s">
        <v>2</v>
      </c>
      <c r="K1" s="34"/>
      <c r="L1" s="34"/>
    </row>
    <row r="2" spans="1:12" x14ac:dyDescent="0.3">
      <c r="A2" s="1" t="s">
        <v>4</v>
      </c>
      <c r="B2" s="25"/>
      <c r="C2" s="25"/>
      <c r="E2" s="41"/>
      <c r="F2" s="42"/>
      <c r="H2" s="42"/>
      <c r="I2" s="16"/>
      <c r="J2" s="17"/>
      <c r="K2" s="34"/>
      <c r="L2" s="34"/>
    </row>
    <row r="3" spans="1:12" x14ac:dyDescent="0.3">
      <c r="A3" s="25"/>
      <c r="B3" s="25"/>
      <c r="C3" s="25"/>
      <c r="E3" s="41"/>
      <c r="F3" s="42"/>
      <c r="H3" s="42"/>
      <c r="I3" s="16" t="s">
        <v>9</v>
      </c>
      <c r="J3" s="17" t="s">
        <v>10</v>
      </c>
      <c r="K3" s="34"/>
      <c r="L3" s="34"/>
    </row>
    <row r="4" spans="1:12" x14ac:dyDescent="0.3">
      <c r="A4" s="2" t="s">
        <v>12</v>
      </c>
      <c r="B4" s="1" t="s">
        <v>13</v>
      </c>
      <c r="C4" s="1" t="s">
        <v>14</v>
      </c>
      <c r="D4" s="20" t="s">
        <v>15</v>
      </c>
      <c r="E4" s="41" t="s">
        <v>16</v>
      </c>
      <c r="F4" s="42" t="s">
        <v>17</v>
      </c>
      <c r="G4" s="9" t="s">
        <v>18</v>
      </c>
      <c r="H4" s="42" t="s">
        <v>19</v>
      </c>
      <c r="I4" s="16" t="s">
        <v>20</v>
      </c>
      <c r="J4" s="17" t="s">
        <v>20</v>
      </c>
      <c r="K4" s="9" t="s">
        <v>21</v>
      </c>
      <c r="L4" s="34"/>
    </row>
    <row r="5" spans="1:12" x14ac:dyDescent="0.3">
      <c r="A5" s="2">
        <v>1</v>
      </c>
      <c r="B5" s="1" t="s">
        <v>22</v>
      </c>
      <c r="C5" s="25" t="s">
        <v>23</v>
      </c>
      <c r="D5" s="43"/>
      <c r="E5" s="41"/>
      <c r="F5" s="42"/>
      <c r="G5" s="34"/>
      <c r="H5" s="42">
        <v>2800</v>
      </c>
      <c r="I5" s="44">
        <f>H5*1.153</f>
        <v>3228.4</v>
      </c>
      <c r="J5" s="45">
        <f>I5</f>
        <v>3228.4</v>
      </c>
      <c r="K5" s="34" t="s">
        <v>24</v>
      </c>
      <c r="L5" s="34"/>
    </row>
    <row r="6" spans="1:12" x14ac:dyDescent="0.3">
      <c r="A6" s="2"/>
      <c r="B6" s="1"/>
      <c r="C6" s="25"/>
      <c r="D6" s="43"/>
      <c r="E6" s="41"/>
      <c r="F6" s="42"/>
      <c r="G6" s="34"/>
      <c r="H6" s="42"/>
      <c r="I6" s="44"/>
      <c r="J6" s="45"/>
      <c r="K6" s="34"/>
      <c r="L6" s="34"/>
    </row>
    <row r="7" spans="1:12" x14ac:dyDescent="0.3">
      <c r="A7" s="2">
        <v>2</v>
      </c>
      <c r="B7" s="1" t="s">
        <v>25</v>
      </c>
      <c r="C7" s="25"/>
      <c r="D7" s="43"/>
      <c r="E7" s="41"/>
      <c r="F7" s="42"/>
      <c r="G7" s="34"/>
      <c r="H7" s="42"/>
      <c r="I7" s="44"/>
      <c r="J7" s="45"/>
      <c r="K7" s="34"/>
      <c r="L7" s="34"/>
    </row>
    <row r="8" spans="1:12" x14ac:dyDescent="0.3">
      <c r="A8" s="46">
        <v>2.1</v>
      </c>
      <c r="B8" s="25" t="s">
        <v>26</v>
      </c>
      <c r="C8" s="25" t="s">
        <v>23</v>
      </c>
      <c r="D8" s="43"/>
      <c r="E8" s="41"/>
      <c r="F8" s="42"/>
      <c r="G8" s="34"/>
      <c r="H8" s="42">
        <v>31500</v>
      </c>
      <c r="I8" s="44">
        <f t="shared" ref="I8:I54" si="0">H8*1.153</f>
        <v>36319.5</v>
      </c>
      <c r="J8" s="45">
        <f t="shared" ref="J8:J27" si="1">I8</f>
        <v>36319.5</v>
      </c>
      <c r="K8" s="34" t="s">
        <v>24</v>
      </c>
      <c r="L8" s="34"/>
    </row>
    <row r="9" spans="1:12" ht="14.15" x14ac:dyDescent="0.3">
      <c r="A9" s="46">
        <v>2.2000000000000002</v>
      </c>
      <c r="B9" s="25" t="s">
        <v>27</v>
      </c>
      <c r="C9" s="25" t="s">
        <v>28</v>
      </c>
      <c r="D9" s="43">
        <f>(0.225*80*30)</f>
        <v>540</v>
      </c>
      <c r="E9" s="41">
        <v>31.5</v>
      </c>
      <c r="F9" s="42">
        <v>31.5</v>
      </c>
      <c r="G9" s="34">
        <f>F9*1.153</f>
        <v>36.319499999999998</v>
      </c>
      <c r="H9" s="42"/>
      <c r="I9" s="44">
        <f>D9*G9</f>
        <v>19612.53</v>
      </c>
      <c r="J9" s="45">
        <f t="shared" si="1"/>
        <v>19612.53</v>
      </c>
      <c r="K9" s="34" t="s">
        <v>242</v>
      </c>
      <c r="L9" s="34"/>
    </row>
    <row r="10" spans="1:12" x14ac:dyDescent="0.3">
      <c r="A10" s="46">
        <v>2.2999999999999998</v>
      </c>
      <c r="B10" s="47" t="s">
        <v>31</v>
      </c>
      <c r="C10" s="25" t="s">
        <v>23</v>
      </c>
      <c r="D10" s="43"/>
      <c r="E10" s="41"/>
      <c r="F10" s="42"/>
      <c r="G10" s="34"/>
      <c r="H10" s="42">
        <v>1050</v>
      </c>
      <c r="I10" s="44">
        <f t="shared" si="0"/>
        <v>1210.6500000000001</v>
      </c>
      <c r="J10" s="45">
        <f t="shared" si="1"/>
        <v>1210.6500000000001</v>
      </c>
      <c r="K10" s="34" t="s">
        <v>24</v>
      </c>
      <c r="L10" s="34">
        <f>SUM(I10:J10)</f>
        <v>2421.3000000000002</v>
      </c>
    </row>
    <row r="11" spans="1:12" x14ac:dyDescent="0.3">
      <c r="A11" s="46">
        <v>2.4</v>
      </c>
      <c r="B11" s="25" t="s">
        <v>32</v>
      </c>
      <c r="C11" s="25" t="s">
        <v>23</v>
      </c>
      <c r="D11" s="43"/>
      <c r="E11" s="41"/>
      <c r="F11" s="42"/>
      <c r="G11" s="34"/>
      <c r="H11" s="42">
        <v>2100</v>
      </c>
      <c r="I11" s="44">
        <f t="shared" si="0"/>
        <v>2421.3000000000002</v>
      </c>
      <c r="J11" s="45">
        <f t="shared" si="1"/>
        <v>2421.3000000000002</v>
      </c>
      <c r="K11" s="34" t="s">
        <v>24</v>
      </c>
      <c r="L11" s="34"/>
    </row>
    <row r="12" spans="1:12" x14ac:dyDescent="0.3">
      <c r="A12" s="46">
        <v>2.5</v>
      </c>
      <c r="B12" s="25" t="s">
        <v>34</v>
      </c>
      <c r="C12" s="25" t="s">
        <v>35</v>
      </c>
      <c r="D12" s="43">
        <v>1880</v>
      </c>
      <c r="E12" s="41">
        <v>31.5</v>
      </c>
      <c r="F12" s="42">
        <v>31.5</v>
      </c>
      <c r="G12" s="34">
        <f>F12*1.153</f>
        <v>36.319499999999998</v>
      </c>
      <c r="H12" s="42"/>
      <c r="I12" s="44">
        <v>2500</v>
      </c>
      <c r="J12" s="45">
        <f t="shared" si="1"/>
        <v>2500</v>
      </c>
      <c r="K12" s="34" t="s">
        <v>243</v>
      </c>
      <c r="L12" s="34"/>
    </row>
    <row r="13" spans="1:12" ht="14.15" x14ac:dyDescent="0.3">
      <c r="A13" s="46" t="s">
        <v>37</v>
      </c>
      <c r="B13" s="25" t="s">
        <v>38</v>
      </c>
      <c r="C13" s="25" t="s">
        <v>28</v>
      </c>
      <c r="D13" s="43">
        <v>9730</v>
      </c>
      <c r="E13" s="41"/>
      <c r="F13" s="42"/>
      <c r="G13" s="34">
        <v>0.48</v>
      </c>
      <c r="H13" s="42"/>
      <c r="I13" s="44">
        <f>D13*G13</f>
        <v>4670.3999999999996</v>
      </c>
      <c r="J13" s="45">
        <f t="shared" si="1"/>
        <v>4670.3999999999996</v>
      </c>
      <c r="K13" s="34" t="s">
        <v>39</v>
      </c>
      <c r="L13" s="34"/>
    </row>
    <row r="14" spans="1:12" ht="14.15" x14ac:dyDescent="0.3">
      <c r="A14" s="46" t="s">
        <v>40</v>
      </c>
      <c r="B14" s="47" t="s">
        <v>41</v>
      </c>
      <c r="C14" s="25" t="s">
        <v>42</v>
      </c>
      <c r="D14" s="43">
        <f>8*3*2/2*(2)</f>
        <v>48</v>
      </c>
      <c r="E14" s="41">
        <v>1.9</v>
      </c>
      <c r="F14" s="42">
        <v>2.5</v>
      </c>
      <c r="G14" s="34">
        <f>G9</f>
        <v>36.319499999999998</v>
      </c>
      <c r="H14" s="42"/>
      <c r="I14" s="44">
        <f>D14*G14</f>
        <v>1743.3359999999998</v>
      </c>
      <c r="J14" s="45">
        <f t="shared" si="1"/>
        <v>1743.3359999999998</v>
      </c>
      <c r="K14" s="34" t="s">
        <v>244</v>
      </c>
      <c r="L14" s="34"/>
    </row>
    <row r="15" spans="1:12" x14ac:dyDescent="0.3">
      <c r="A15" s="46">
        <v>2.6</v>
      </c>
      <c r="B15" s="25" t="s">
        <v>45</v>
      </c>
      <c r="C15" s="25" t="s">
        <v>23</v>
      </c>
      <c r="D15" s="43"/>
      <c r="E15" s="41"/>
      <c r="F15" s="42"/>
      <c r="G15" s="34"/>
      <c r="H15" s="42">
        <v>1000</v>
      </c>
      <c r="I15" s="44">
        <f t="shared" si="0"/>
        <v>1153</v>
      </c>
      <c r="J15" s="45">
        <f t="shared" si="1"/>
        <v>1153</v>
      </c>
      <c r="K15" s="34" t="s">
        <v>24</v>
      </c>
      <c r="L15" s="34"/>
    </row>
    <row r="16" spans="1:12" x14ac:dyDescent="0.3">
      <c r="A16" s="46">
        <v>2.7</v>
      </c>
      <c r="B16" s="25" t="s">
        <v>46</v>
      </c>
      <c r="C16" s="25" t="s">
        <v>23</v>
      </c>
      <c r="D16" s="43"/>
      <c r="E16" s="41"/>
      <c r="F16" s="42"/>
      <c r="G16" s="34"/>
      <c r="H16" s="42">
        <v>5000</v>
      </c>
      <c r="I16" s="44">
        <f t="shared" si="0"/>
        <v>5765</v>
      </c>
      <c r="J16" s="45">
        <f t="shared" si="1"/>
        <v>5765</v>
      </c>
      <c r="K16" s="34" t="s">
        <v>24</v>
      </c>
      <c r="L16" s="34"/>
    </row>
    <row r="17" spans="1:15" x14ac:dyDescent="0.3">
      <c r="A17" s="46">
        <v>2.8</v>
      </c>
      <c r="B17" s="25" t="s">
        <v>245</v>
      </c>
      <c r="C17" s="25" t="s">
        <v>23</v>
      </c>
      <c r="D17" s="43"/>
      <c r="E17" s="41"/>
      <c r="F17" s="42"/>
      <c r="G17" s="34"/>
      <c r="H17" s="42">
        <v>400</v>
      </c>
      <c r="I17" s="44">
        <f t="shared" si="0"/>
        <v>461.2</v>
      </c>
      <c r="J17" s="45">
        <f t="shared" si="1"/>
        <v>461.2</v>
      </c>
      <c r="K17" s="34" t="s">
        <v>24</v>
      </c>
      <c r="L17" s="34"/>
      <c r="M17" s="34"/>
      <c r="N17" s="34"/>
      <c r="O17" s="34"/>
    </row>
    <row r="18" spans="1:15" x14ac:dyDescent="0.3">
      <c r="A18" s="46"/>
      <c r="B18" s="25"/>
      <c r="C18" s="25"/>
      <c r="D18" s="43"/>
      <c r="E18" s="41"/>
      <c r="F18" s="42"/>
      <c r="G18" s="34"/>
      <c r="H18" s="42"/>
      <c r="I18" s="44"/>
      <c r="J18" s="45"/>
      <c r="K18" s="34"/>
      <c r="L18" s="34"/>
      <c r="M18" s="34"/>
      <c r="N18" s="34"/>
      <c r="O18" s="34"/>
    </row>
    <row r="19" spans="1:15" x14ac:dyDescent="0.3">
      <c r="A19" s="2">
        <v>3.1</v>
      </c>
      <c r="B19" s="1" t="s">
        <v>49</v>
      </c>
      <c r="C19" s="25"/>
      <c r="D19" s="43"/>
      <c r="E19" s="41"/>
      <c r="F19" s="42"/>
      <c r="G19" s="34"/>
      <c r="H19" s="42"/>
      <c r="I19" s="44"/>
      <c r="J19" s="45"/>
      <c r="K19" s="34"/>
      <c r="L19" s="34"/>
      <c r="M19" s="34"/>
      <c r="N19" s="34"/>
      <c r="O19" s="34"/>
    </row>
    <row r="20" spans="1:15" ht="14.15" x14ac:dyDescent="0.3">
      <c r="A20" s="46" t="s">
        <v>50</v>
      </c>
      <c r="B20" s="25" t="s">
        <v>51</v>
      </c>
      <c r="C20" s="25" t="s">
        <v>42</v>
      </c>
      <c r="D20" s="43">
        <v>5000</v>
      </c>
      <c r="E20" s="41"/>
      <c r="F20" s="42"/>
      <c r="G20" s="34">
        <v>0.23060000000000003</v>
      </c>
      <c r="H20" s="42"/>
      <c r="I20" s="44">
        <f t="shared" ref="I20:I27" si="2">D20*G20</f>
        <v>1153.0000000000002</v>
      </c>
      <c r="J20" s="45">
        <f t="shared" si="1"/>
        <v>1153.0000000000002</v>
      </c>
      <c r="K20" s="34"/>
      <c r="L20" s="34"/>
      <c r="M20" s="34"/>
      <c r="N20" s="34"/>
      <c r="O20" s="34"/>
    </row>
    <row r="21" spans="1:15" ht="14.15" x14ac:dyDescent="0.3">
      <c r="A21" s="46" t="s">
        <v>52</v>
      </c>
      <c r="B21" s="25" t="s">
        <v>53</v>
      </c>
      <c r="C21" s="25" t="s">
        <v>42</v>
      </c>
      <c r="D21" s="43">
        <f>0.3*6000</f>
        <v>1800</v>
      </c>
      <c r="E21" s="41">
        <v>1.5</v>
      </c>
      <c r="F21" s="42">
        <v>2.5</v>
      </c>
      <c r="G21" s="34">
        <f>F21*1.153</f>
        <v>2.8825000000000003</v>
      </c>
      <c r="H21" s="42"/>
      <c r="I21" s="44">
        <f t="shared" si="2"/>
        <v>5188.5000000000009</v>
      </c>
      <c r="J21" s="45">
        <f t="shared" si="1"/>
        <v>5188.5000000000009</v>
      </c>
      <c r="K21" s="34" t="s">
        <v>246</v>
      </c>
      <c r="L21" s="34"/>
      <c r="M21" s="34"/>
      <c r="N21" s="34"/>
      <c r="O21" s="34"/>
    </row>
    <row r="22" spans="1:15" ht="14.15" x14ac:dyDescent="0.3">
      <c r="A22" s="46" t="s">
        <v>55</v>
      </c>
      <c r="B22" s="25" t="s">
        <v>56</v>
      </c>
      <c r="C22" s="25" t="s">
        <v>42</v>
      </c>
      <c r="D22" s="43">
        <f>D21</f>
        <v>1800</v>
      </c>
      <c r="E22" s="41">
        <v>1.2</v>
      </c>
      <c r="F22" s="42">
        <v>2.5</v>
      </c>
      <c r="G22" s="34">
        <f t="shared" ref="G22:G26" si="3">F22*1.153</f>
        <v>2.8825000000000003</v>
      </c>
      <c r="H22" s="42"/>
      <c r="I22" s="44">
        <f t="shared" si="2"/>
        <v>5188.5000000000009</v>
      </c>
      <c r="J22" s="45">
        <f t="shared" si="1"/>
        <v>5188.5000000000009</v>
      </c>
      <c r="K22" s="34"/>
      <c r="L22" s="34"/>
      <c r="M22" s="34"/>
      <c r="N22" s="34"/>
      <c r="O22" s="34"/>
    </row>
    <row r="23" spans="1:15" ht="14.15" x14ac:dyDescent="0.3">
      <c r="A23" s="46" t="s">
        <v>57</v>
      </c>
      <c r="B23" s="25" t="s">
        <v>58</v>
      </c>
      <c r="C23" s="25" t="s">
        <v>28</v>
      </c>
      <c r="D23" s="43">
        <f>(6000-D21)*0.4</f>
        <v>1680</v>
      </c>
      <c r="E23" s="41">
        <v>1.9</v>
      </c>
      <c r="F23" s="42">
        <v>1.9</v>
      </c>
      <c r="G23" s="34">
        <f t="shared" si="3"/>
        <v>2.1907000000000001</v>
      </c>
      <c r="H23" s="42"/>
      <c r="I23" s="44">
        <f t="shared" si="2"/>
        <v>3680.3760000000002</v>
      </c>
      <c r="J23" s="45">
        <f t="shared" si="1"/>
        <v>3680.3760000000002</v>
      </c>
      <c r="K23" s="34" t="s">
        <v>59</v>
      </c>
      <c r="L23" s="34"/>
      <c r="M23" s="34"/>
      <c r="N23" s="34"/>
      <c r="O23" s="34"/>
    </row>
    <row r="24" spans="1:15" ht="14.15" x14ac:dyDescent="0.3">
      <c r="A24" s="46" t="s">
        <v>60</v>
      </c>
      <c r="B24" s="25" t="s">
        <v>61</v>
      </c>
      <c r="C24" s="25" t="s">
        <v>28</v>
      </c>
      <c r="D24" s="43">
        <v>19602</v>
      </c>
      <c r="E24" s="41">
        <v>0.42</v>
      </c>
      <c r="F24" s="42">
        <v>0.42</v>
      </c>
      <c r="G24" s="34">
        <f t="shared" si="3"/>
        <v>0.48425999999999997</v>
      </c>
      <c r="H24" s="42"/>
      <c r="I24" s="44">
        <f t="shared" si="2"/>
        <v>9492.4645199999995</v>
      </c>
      <c r="J24" s="45">
        <f t="shared" si="1"/>
        <v>9492.4645199999995</v>
      </c>
      <c r="K24" s="34" t="s">
        <v>62</v>
      </c>
      <c r="L24" s="34"/>
      <c r="M24" s="34"/>
      <c r="N24" s="34"/>
      <c r="O24" s="34"/>
    </row>
    <row r="25" spans="1:15" ht="14.15" x14ac:dyDescent="0.3">
      <c r="A25" s="46" t="s">
        <v>63</v>
      </c>
      <c r="B25" s="25" t="s">
        <v>64</v>
      </c>
      <c r="C25" s="25" t="s">
        <v>42</v>
      </c>
      <c r="D25" s="43">
        <v>1020</v>
      </c>
      <c r="E25" s="41">
        <v>0.2</v>
      </c>
      <c r="F25" s="42">
        <v>0.2</v>
      </c>
      <c r="G25" s="34">
        <f t="shared" si="3"/>
        <v>0.23060000000000003</v>
      </c>
      <c r="H25" s="42"/>
      <c r="I25" s="44">
        <f t="shared" si="2"/>
        <v>235.21200000000002</v>
      </c>
      <c r="J25" s="45">
        <f t="shared" si="1"/>
        <v>235.21200000000002</v>
      </c>
      <c r="K25" s="34"/>
      <c r="L25" s="34"/>
      <c r="M25" s="34"/>
      <c r="N25" s="34"/>
      <c r="O25" s="34"/>
    </row>
    <row r="26" spans="1:15" ht="14.15" x14ac:dyDescent="0.3">
      <c r="A26" s="46" t="s">
        <v>65</v>
      </c>
      <c r="B26" s="25" t="s">
        <v>66</v>
      </c>
      <c r="C26" s="25" t="s">
        <v>28</v>
      </c>
      <c r="D26" s="43">
        <f>D23</f>
        <v>1680</v>
      </c>
      <c r="E26" s="41">
        <v>1.9</v>
      </c>
      <c r="F26" s="42">
        <v>1.9</v>
      </c>
      <c r="G26" s="34">
        <f t="shared" si="3"/>
        <v>2.1907000000000001</v>
      </c>
      <c r="H26" s="42"/>
      <c r="I26" s="44">
        <f t="shared" si="2"/>
        <v>3680.3760000000002</v>
      </c>
      <c r="J26" s="45">
        <f t="shared" si="1"/>
        <v>3680.3760000000002</v>
      </c>
      <c r="K26" s="34" t="s">
        <v>67</v>
      </c>
      <c r="L26" s="34"/>
      <c r="M26" s="34"/>
      <c r="N26" s="34"/>
      <c r="O26" s="34"/>
    </row>
    <row r="27" spans="1:15" ht="14.15" x14ac:dyDescent="0.3">
      <c r="A27" s="46" t="s">
        <v>68</v>
      </c>
      <c r="B27" s="25" t="s">
        <v>69</v>
      </c>
      <c r="C27" s="25" t="s">
        <v>42</v>
      </c>
      <c r="D27" s="43">
        <f>D21</f>
        <v>1800</v>
      </c>
      <c r="E27" s="41">
        <v>4.0999999999999996</v>
      </c>
      <c r="F27" s="42">
        <v>7.5</v>
      </c>
      <c r="G27" s="48">
        <f>7.5*1.153</f>
        <v>8.6475000000000009</v>
      </c>
      <c r="H27" s="42"/>
      <c r="I27" s="44">
        <f t="shared" si="2"/>
        <v>15565.500000000002</v>
      </c>
      <c r="J27" s="45">
        <f t="shared" si="1"/>
        <v>15565.500000000002</v>
      </c>
      <c r="K27" s="34" t="s">
        <v>70</v>
      </c>
      <c r="L27" s="34"/>
      <c r="M27" s="34"/>
      <c r="N27" s="34"/>
      <c r="O27" s="34"/>
    </row>
    <row r="28" spans="1:15" ht="12.75" customHeight="1" x14ac:dyDescent="0.3">
      <c r="A28" s="12" t="s">
        <v>71</v>
      </c>
      <c r="B28" s="13" t="s">
        <v>72</v>
      </c>
      <c r="C28" s="25"/>
      <c r="D28" s="43"/>
      <c r="E28" s="41"/>
      <c r="F28" s="42"/>
      <c r="G28" s="34"/>
      <c r="H28" s="42"/>
      <c r="I28" s="44"/>
      <c r="J28" s="34"/>
      <c r="K28" s="49" t="s">
        <v>73</v>
      </c>
      <c r="L28" s="34"/>
      <c r="M28" s="34"/>
      <c r="N28" s="34"/>
      <c r="O28" s="34"/>
    </row>
    <row r="29" spans="1:15" ht="14.15" x14ac:dyDescent="0.3">
      <c r="A29" s="37" t="s">
        <v>74</v>
      </c>
      <c r="B29" s="32" t="s">
        <v>75</v>
      </c>
      <c r="C29" s="25" t="s">
        <v>28</v>
      </c>
      <c r="D29" s="50">
        <f>13686/2</f>
        <v>6843</v>
      </c>
      <c r="E29" s="41"/>
      <c r="F29" s="42">
        <v>8</v>
      </c>
      <c r="G29" s="34">
        <f>F29*1.153</f>
        <v>9.2240000000000002</v>
      </c>
      <c r="H29" s="42"/>
      <c r="I29" s="44">
        <f t="shared" ref="I29:I35" si="4">D29*G29</f>
        <v>63119.832000000002</v>
      </c>
      <c r="J29" s="34"/>
      <c r="K29" s="52" t="s">
        <v>76</v>
      </c>
      <c r="L29" s="34"/>
      <c r="M29" s="34"/>
      <c r="N29" s="34"/>
      <c r="O29" s="34"/>
    </row>
    <row r="30" spans="1:15" ht="14.15" x14ac:dyDescent="0.3">
      <c r="A30" s="37" t="s">
        <v>77</v>
      </c>
      <c r="B30" s="32" t="s">
        <v>78</v>
      </c>
      <c r="C30" s="25" t="s">
        <v>28</v>
      </c>
      <c r="D30" s="43">
        <f>(6672/2*0.7*0.4)+(6672/2*0.3*0.1)</f>
        <v>1034.1599999999999</v>
      </c>
      <c r="E30" s="41">
        <v>1.9</v>
      </c>
      <c r="F30" s="42">
        <v>1.9</v>
      </c>
      <c r="G30" s="34">
        <f>F30*1.153</f>
        <v>2.1907000000000001</v>
      </c>
      <c r="H30" s="42"/>
      <c r="I30" s="44">
        <f t="shared" si="4"/>
        <v>2265.5343119999998</v>
      </c>
      <c r="J30" s="34"/>
      <c r="K30" s="52" t="s">
        <v>79</v>
      </c>
      <c r="L30" s="34"/>
      <c r="M30" s="34"/>
      <c r="N30" s="34"/>
      <c r="O30" s="34"/>
    </row>
    <row r="31" spans="1:15" ht="14.15" x14ac:dyDescent="0.3">
      <c r="A31" s="37" t="s">
        <v>80</v>
      </c>
      <c r="B31" s="32" t="s">
        <v>81</v>
      </c>
      <c r="C31" s="25" t="s">
        <v>42</v>
      </c>
      <c r="D31" s="43">
        <f>6672/2*0.3</f>
        <v>1000.8</v>
      </c>
      <c r="E31" s="41">
        <v>4.0999999999999996</v>
      </c>
      <c r="F31" s="42">
        <v>7.5</v>
      </c>
      <c r="G31" s="48">
        <f>7.5*1.153</f>
        <v>8.6475000000000009</v>
      </c>
      <c r="H31" s="42"/>
      <c r="I31" s="44">
        <f t="shared" si="4"/>
        <v>8654.4179999999997</v>
      </c>
      <c r="J31" s="34"/>
      <c r="K31" s="52" t="s">
        <v>79</v>
      </c>
      <c r="L31" s="34"/>
      <c r="M31" s="34"/>
      <c r="N31" s="34"/>
      <c r="O31" s="34"/>
    </row>
    <row r="32" spans="1:15" s="25" customFormat="1" ht="12.75" customHeight="1" x14ac:dyDescent="0.3">
      <c r="A32" s="44" t="s">
        <v>247</v>
      </c>
      <c r="B32" s="44" t="s">
        <v>83</v>
      </c>
      <c r="C32" s="25" t="s">
        <v>28</v>
      </c>
      <c r="D32" s="50">
        <v>4000</v>
      </c>
      <c r="E32" s="53"/>
      <c r="F32" s="42"/>
      <c r="G32" s="34">
        <v>0.48</v>
      </c>
      <c r="H32" s="42"/>
      <c r="I32" s="48">
        <f>D32*G32</f>
        <v>1920</v>
      </c>
      <c r="K32" s="48" t="s">
        <v>84</v>
      </c>
      <c r="L32" s="34"/>
      <c r="M32" s="34"/>
      <c r="N32" s="34"/>
      <c r="O32" s="34"/>
    </row>
    <row r="33" spans="1:11" ht="14.15" x14ac:dyDescent="0.3">
      <c r="A33" s="37" t="s">
        <v>85</v>
      </c>
      <c r="B33" s="32" t="s">
        <v>86</v>
      </c>
      <c r="C33" s="25" t="s">
        <v>28</v>
      </c>
      <c r="D33" s="43">
        <f>(6672/2*0.7*0.4)+(6672/2*0.3*0.1)</f>
        <v>1034.1599999999999</v>
      </c>
      <c r="E33" s="41"/>
      <c r="F33" s="42"/>
      <c r="G33" s="34">
        <v>2.19</v>
      </c>
      <c r="H33" s="42"/>
      <c r="I33" s="44">
        <f t="shared" si="4"/>
        <v>2264.8103999999998</v>
      </c>
      <c r="J33" s="34"/>
      <c r="K33" s="52" t="s">
        <v>79</v>
      </c>
    </row>
    <row r="34" spans="1:11" ht="14.15" x14ac:dyDescent="0.3">
      <c r="A34" s="37" t="s">
        <v>87</v>
      </c>
      <c r="B34" s="32" t="s">
        <v>88</v>
      </c>
      <c r="C34" s="25" t="s">
        <v>42</v>
      </c>
      <c r="D34" s="43">
        <f>6672/2*0.3</f>
        <v>1000.8</v>
      </c>
      <c r="E34" s="41">
        <v>4.0999999999999996</v>
      </c>
      <c r="F34" s="42">
        <v>7.5</v>
      </c>
      <c r="G34" s="48">
        <f>7.5*1.153</f>
        <v>8.6475000000000009</v>
      </c>
      <c r="H34" s="42"/>
      <c r="I34" s="44">
        <f t="shared" si="4"/>
        <v>8654.4179999999997</v>
      </c>
      <c r="J34" s="34"/>
      <c r="K34" s="52" t="s">
        <v>79</v>
      </c>
    </row>
    <row r="35" spans="1:11" ht="14.15" x14ac:dyDescent="0.3">
      <c r="A35" s="37" t="s">
        <v>89</v>
      </c>
      <c r="B35" s="32" t="s">
        <v>90</v>
      </c>
      <c r="C35" s="25" t="s">
        <v>42</v>
      </c>
      <c r="D35" s="43">
        <f>6672/2</f>
        <v>3336</v>
      </c>
      <c r="E35" s="41">
        <v>5</v>
      </c>
      <c r="F35" s="42">
        <v>5</v>
      </c>
      <c r="G35" s="34">
        <f>F35*1.153</f>
        <v>5.7650000000000006</v>
      </c>
      <c r="H35" s="42"/>
      <c r="I35" s="44">
        <f t="shared" si="4"/>
        <v>19232.04</v>
      </c>
      <c r="J35" s="34"/>
      <c r="K35" s="52" t="s">
        <v>91</v>
      </c>
    </row>
    <row r="36" spans="1:11" x14ac:dyDescent="0.3">
      <c r="A36" s="14" t="s">
        <v>92</v>
      </c>
      <c r="B36" s="15" t="s">
        <v>93</v>
      </c>
      <c r="C36" s="25"/>
      <c r="D36" s="43"/>
      <c r="E36" s="41"/>
      <c r="F36" s="42"/>
      <c r="G36" s="34"/>
      <c r="H36" s="42"/>
      <c r="I36" s="34"/>
      <c r="J36" s="45"/>
      <c r="K36" s="33"/>
    </row>
    <row r="37" spans="1:11" ht="14.15" x14ac:dyDescent="0.3">
      <c r="A37" s="54" t="s">
        <v>94</v>
      </c>
      <c r="B37" s="22" t="s">
        <v>265</v>
      </c>
      <c r="C37" s="25" t="s">
        <v>28</v>
      </c>
      <c r="D37" s="43">
        <f>(15498/2*0.7*0.4)+(15498/2*0.3*0.1)</f>
        <v>2402.1899999999996</v>
      </c>
      <c r="E37" s="41"/>
      <c r="F37" s="42"/>
      <c r="G37" s="34">
        <f>1.9*1.153</f>
        <v>2.1907000000000001</v>
      </c>
      <c r="H37" s="42"/>
      <c r="I37" s="34"/>
      <c r="J37" s="45">
        <f t="shared" ref="J37:J45" si="5">D37*G37</f>
        <v>5262.4776329999995</v>
      </c>
      <c r="K37" s="34" t="s">
        <v>266</v>
      </c>
    </row>
    <row r="38" spans="1:11" ht="14.15" x14ac:dyDescent="0.3">
      <c r="A38" s="54" t="s">
        <v>97</v>
      </c>
      <c r="B38" s="22" t="s">
        <v>267</v>
      </c>
      <c r="C38" s="25" t="s">
        <v>42</v>
      </c>
      <c r="D38" s="43">
        <f>15498/2*0.3</f>
        <v>2324.6999999999998</v>
      </c>
      <c r="E38" s="41"/>
      <c r="F38" s="42"/>
      <c r="G38" s="48">
        <f>7.5*1.153</f>
        <v>8.6475000000000009</v>
      </c>
      <c r="H38" s="42"/>
      <c r="I38" s="34"/>
      <c r="J38" s="45">
        <f t="shared" si="5"/>
        <v>20102.843250000002</v>
      </c>
      <c r="K38" s="34" t="s">
        <v>266</v>
      </c>
    </row>
    <row r="39" spans="1:11" ht="14.15" x14ac:dyDescent="0.3">
      <c r="A39" s="54" t="s">
        <v>99</v>
      </c>
      <c r="B39" s="22" t="s">
        <v>268</v>
      </c>
      <c r="C39" s="25" t="s">
        <v>28</v>
      </c>
      <c r="D39" s="50">
        <v>4000</v>
      </c>
      <c r="E39" s="53"/>
      <c r="F39" s="42"/>
      <c r="G39" s="34">
        <v>9.2240000000000002</v>
      </c>
      <c r="H39" s="42"/>
      <c r="I39" s="34"/>
      <c r="J39" s="45">
        <f t="shared" si="5"/>
        <v>36896</v>
      </c>
      <c r="K39" s="48" t="s">
        <v>269</v>
      </c>
    </row>
    <row r="40" spans="1:11" ht="14.15" x14ac:dyDescent="0.3">
      <c r="A40" s="54" t="s">
        <v>102</v>
      </c>
      <c r="B40" s="22" t="s">
        <v>270</v>
      </c>
      <c r="C40" s="25" t="s">
        <v>28</v>
      </c>
      <c r="D40" s="43">
        <f>(5425*0.7*0.4)+(5425*0.3*0.1)</f>
        <v>1681.75</v>
      </c>
      <c r="E40" s="41"/>
      <c r="F40" s="42"/>
      <c r="G40" s="34">
        <f>1.9*1.153</f>
        <v>2.1907000000000001</v>
      </c>
      <c r="H40" s="42"/>
      <c r="I40" s="34"/>
      <c r="J40" s="45">
        <f t="shared" si="5"/>
        <v>3684.2097250000002</v>
      </c>
      <c r="K40" s="48" t="s">
        <v>271</v>
      </c>
    </row>
    <row r="41" spans="1:11" ht="14.15" x14ac:dyDescent="0.3">
      <c r="A41" s="54" t="s">
        <v>105</v>
      </c>
      <c r="B41" s="22" t="s">
        <v>272</v>
      </c>
      <c r="C41" s="25" t="s">
        <v>42</v>
      </c>
      <c r="D41" s="43">
        <f>5425*0.3</f>
        <v>1627.5</v>
      </c>
      <c r="E41" s="41"/>
      <c r="F41" s="42"/>
      <c r="G41" s="48">
        <f>7.5*1.153</f>
        <v>8.6475000000000009</v>
      </c>
      <c r="H41" s="42"/>
      <c r="I41" s="34"/>
      <c r="J41" s="45">
        <f t="shared" si="5"/>
        <v>14073.806250000001</v>
      </c>
      <c r="K41" s="48" t="s">
        <v>271</v>
      </c>
    </row>
    <row r="42" spans="1:11" ht="14.15" x14ac:dyDescent="0.3">
      <c r="A42" s="54" t="s">
        <v>107</v>
      </c>
      <c r="B42" s="22" t="s">
        <v>273</v>
      </c>
      <c r="C42" s="25" t="s">
        <v>28</v>
      </c>
      <c r="D42" s="43">
        <v>4000</v>
      </c>
      <c r="E42" s="41"/>
      <c r="F42" s="42"/>
      <c r="G42" s="34">
        <f>0.42*1.153</f>
        <v>0.48425999999999997</v>
      </c>
      <c r="H42" s="42"/>
      <c r="I42" s="34"/>
      <c r="J42" s="45">
        <f t="shared" si="5"/>
        <v>1937.04</v>
      </c>
      <c r="K42" s="48" t="s">
        <v>274</v>
      </c>
    </row>
    <row r="43" spans="1:11" ht="14.15" x14ac:dyDescent="0.3">
      <c r="A43" s="54" t="s">
        <v>110</v>
      </c>
      <c r="B43" s="22" t="s">
        <v>275</v>
      </c>
      <c r="C43" s="25" t="s">
        <v>28</v>
      </c>
      <c r="D43" s="43">
        <f>(6331/2*0.7*0.4)+(6331/2*0.3*0.1)</f>
        <v>981.30500000000006</v>
      </c>
      <c r="E43" s="41"/>
      <c r="F43" s="42"/>
      <c r="G43" s="34">
        <f>1.9*1.153</f>
        <v>2.1907000000000001</v>
      </c>
      <c r="H43" s="42"/>
      <c r="I43" s="34"/>
      <c r="J43" s="45">
        <f t="shared" si="5"/>
        <v>2149.7448635000001</v>
      </c>
      <c r="K43" s="48" t="s">
        <v>276</v>
      </c>
    </row>
    <row r="44" spans="1:11" ht="14.15" x14ac:dyDescent="0.3">
      <c r="A44" s="54" t="s">
        <v>113</v>
      </c>
      <c r="B44" s="22" t="s">
        <v>277</v>
      </c>
      <c r="C44" s="25" t="s">
        <v>42</v>
      </c>
      <c r="D44" s="43">
        <f>6331/2*0.3</f>
        <v>949.65</v>
      </c>
      <c r="E44" s="41"/>
      <c r="F44" s="42"/>
      <c r="G44" s="48">
        <f>7.5*1.153</f>
        <v>8.6475000000000009</v>
      </c>
      <c r="H44" s="42"/>
      <c r="I44" s="34"/>
      <c r="J44" s="45">
        <f t="shared" si="5"/>
        <v>8212.0983750000014</v>
      </c>
      <c r="K44" s="48" t="s">
        <v>276</v>
      </c>
    </row>
    <row r="45" spans="1:11" ht="14.15" x14ac:dyDescent="0.3">
      <c r="A45" s="54" t="s">
        <v>115</v>
      </c>
      <c r="B45" s="22" t="s">
        <v>90</v>
      </c>
      <c r="C45" s="25" t="s">
        <v>42</v>
      </c>
      <c r="D45" s="50">
        <f>0.5*(15498/2)</f>
        <v>3874.5</v>
      </c>
      <c r="E45" s="41">
        <v>5</v>
      </c>
      <c r="F45" s="42">
        <v>5</v>
      </c>
      <c r="G45" s="34">
        <f>F45*1.153</f>
        <v>5.7650000000000006</v>
      </c>
      <c r="H45" s="42"/>
      <c r="I45" s="34"/>
      <c r="J45" s="48">
        <f t="shared" si="5"/>
        <v>22336.492500000004</v>
      </c>
      <c r="K45" s="34" t="s">
        <v>278</v>
      </c>
    </row>
    <row r="46" spans="1:11" x14ac:dyDescent="0.3">
      <c r="A46" s="2">
        <v>3.3</v>
      </c>
      <c r="B46" s="1" t="s">
        <v>117</v>
      </c>
      <c r="C46" s="25"/>
      <c r="D46" s="43"/>
      <c r="E46" s="41"/>
      <c r="F46" s="42"/>
      <c r="G46" s="34"/>
      <c r="H46" s="42"/>
      <c r="I46" s="44"/>
      <c r="J46" s="45"/>
      <c r="K46" s="34"/>
    </row>
    <row r="47" spans="1:11" x14ac:dyDescent="0.3">
      <c r="A47" s="46" t="s">
        <v>118</v>
      </c>
      <c r="B47" s="25" t="s">
        <v>119</v>
      </c>
      <c r="C47" s="25"/>
      <c r="D47" s="43"/>
      <c r="E47" s="41"/>
      <c r="F47" s="42"/>
      <c r="G47" s="34"/>
      <c r="H47" s="42"/>
      <c r="I47" s="44"/>
      <c r="J47" s="45"/>
      <c r="K47" s="34" t="s">
        <v>120</v>
      </c>
    </row>
    <row r="48" spans="1:11" x14ac:dyDescent="0.3">
      <c r="A48" s="5">
        <v>3.4</v>
      </c>
      <c r="B48" s="1" t="s">
        <v>121</v>
      </c>
      <c r="C48" s="25" t="s">
        <v>23</v>
      </c>
      <c r="D48" s="43"/>
      <c r="E48" s="41"/>
      <c r="F48" s="42"/>
      <c r="G48" s="34"/>
      <c r="H48" s="42">
        <v>2100</v>
      </c>
      <c r="I48" s="44">
        <f>H48*1.153</f>
        <v>2421.3000000000002</v>
      </c>
      <c r="J48" s="45">
        <f>I48</f>
        <v>2421.3000000000002</v>
      </c>
      <c r="K48" s="34"/>
    </row>
    <row r="49" spans="1:12" x14ac:dyDescent="0.3">
      <c r="A49" s="5">
        <v>3.5</v>
      </c>
      <c r="B49" s="1" t="s">
        <v>122</v>
      </c>
      <c r="C49" s="25"/>
      <c r="D49" s="43"/>
      <c r="E49" s="41"/>
      <c r="F49" s="42"/>
      <c r="G49" s="34"/>
      <c r="H49" s="42"/>
      <c r="I49" s="44"/>
      <c r="J49" s="45"/>
      <c r="K49" s="34"/>
      <c r="L49" s="34"/>
    </row>
    <row r="50" spans="1:12" ht="14.15" x14ac:dyDescent="0.3">
      <c r="A50" s="55" t="s">
        <v>123</v>
      </c>
      <c r="B50" s="25" t="s">
        <v>124</v>
      </c>
      <c r="C50" s="25" t="s">
        <v>42</v>
      </c>
      <c r="D50" s="43">
        <v>15000</v>
      </c>
      <c r="E50" s="41">
        <v>0.2</v>
      </c>
      <c r="F50" s="42">
        <v>0.2</v>
      </c>
      <c r="G50" s="34">
        <f>F50*1.153</f>
        <v>0.23060000000000003</v>
      </c>
      <c r="H50" s="42"/>
      <c r="I50" s="44">
        <f>D50*G50</f>
        <v>3459.0000000000005</v>
      </c>
      <c r="J50" s="45">
        <f t="shared" ref="J50:J58" si="6">I50</f>
        <v>3459.0000000000005</v>
      </c>
      <c r="K50" s="34"/>
      <c r="L50" s="34"/>
    </row>
    <row r="51" spans="1:12" x14ac:dyDescent="0.3">
      <c r="A51" s="55"/>
      <c r="B51" s="25"/>
      <c r="C51" s="25"/>
      <c r="D51" s="43"/>
      <c r="E51" s="41"/>
      <c r="F51" s="42"/>
      <c r="G51" s="34"/>
      <c r="H51" s="42"/>
      <c r="I51" s="44"/>
      <c r="J51" s="45"/>
      <c r="K51" s="34"/>
      <c r="L51" s="34"/>
    </row>
    <row r="52" spans="1:12" x14ac:dyDescent="0.3">
      <c r="A52" s="2">
        <v>4</v>
      </c>
      <c r="B52" s="1" t="s">
        <v>125</v>
      </c>
      <c r="C52" s="25"/>
      <c r="D52" s="43"/>
      <c r="E52" s="41"/>
      <c r="F52" s="42"/>
      <c r="G52" s="34"/>
      <c r="H52" s="42"/>
      <c r="I52" s="44"/>
      <c r="J52" s="45"/>
      <c r="K52" s="34"/>
      <c r="L52" s="34"/>
    </row>
    <row r="53" spans="1:12" x14ac:dyDescent="0.3">
      <c r="A53" s="2">
        <v>4.0999999999999996</v>
      </c>
      <c r="B53" s="1" t="s">
        <v>126</v>
      </c>
      <c r="C53" s="25"/>
      <c r="D53" s="43"/>
      <c r="E53" s="41"/>
      <c r="F53" s="42"/>
      <c r="G53" s="34"/>
      <c r="H53" s="42"/>
      <c r="I53" s="44"/>
      <c r="J53" s="45"/>
      <c r="K53" s="34"/>
      <c r="L53" s="34"/>
    </row>
    <row r="54" spans="1:12" x14ac:dyDescent="0.3">
      <c r="A54" s="46" t="s">
        <v>127</v>
      </c>
      <c r="B54" s="25" t="s">
        <v>128</v>
      </c>
      <c r="C54" s="25" t="s">
        <v>23</v>
      </c>
      <c r="D54" s="43"/>
      <c r="E54" s="41"/>
      <c r="F54" s="42"/>
      <c r="G54" s="34"/>
      <c r="H54" s="42">
        <v>1000</v>
      </c>
      <c r="I54" s="44">
        <f t="shared" si="0"/>
        <v>1153</v>
      </c>
      <c r="J54" s="45">
        <f t="shared" si="6"/>
        <v>1153</v>
      </c>
      <c r="K54" s="34"/>
      <c r="L54" s="34"/>
    </row>
    <row r="55" spans="1:12" ht="14.15" x14ac:dyDescent="0.3">
      <c r="A55" s="46" t="s">
        <v>129</v>
      </c>
      <c r="B55" s="25" t="s">
        <v>130</v>
      </c>
      <c r="C55" s="25" t="s">
        <v>42</v>
      </c>
      <c r="D55" s="72">
        <v>22500</v>
      </c>
      <c r="E55" s="73">
        <v>0.21</v>
      </c>
      <c r="F55" s="73">
        <v>0.5</v>
      </c>
      <c r="G55" s="73">
        <f>F55*1.153</f>
        <v>0.57650000000000001</v>
      </c>
      <c r="H55" s="42"/>
      <c r="I55" s="44">
        <f>D55*G55</f>
        <v>12971.25</v>
      </c>
      <c r="J55" s="45">
        <f t="shared" si="6"/>
        <v>12971.25</v>
      </c>
      <c r="K55" s="34"/>
      <c r="L55" s="34"/>
    </row>
    <row r="56" spans="1:12" x14ac:dyDescent="0.3">
      <c r="A56" s="46" t="s">
        <v>131</v>
      </c>
      <c r="B56" s="25" t="s">
        <v>132</v>
      </c>
      <c r="C56" s="25" t="s">
        <v>133</v>
      </c>
      <c r="D56" s="56">
        <f>D55/10000</f>
        <v>2.25</v>
      </c>
      <c r="E56" s="41">
        <v>2000</v>
      </c>
      <c r="F56" s="42">
        <v>2000</v>
      </c>
      <c r="G56" s="34">
        <f>F56*1.153</f>
        <v>2306</v>
      </c>
      <c r="H56" s="42"/>
      <c r="I56" s="44">
        <f>D56*G56</f>
        <v>5188.5</v>
      </c>
      <c r="J56" s="45">
        <f t="shared" si="6"/>
        <v>5188.5</v>
      </c>
      <c r="K56" s="34"/>
      <c r="L56" s="34"/>
    </row>
    <row r="57" spans="1:12" ht="14.15" x14ac:dyDescent="0.3">
      <c r="A57" s="46" t="s">
        <v>134</v>
      </c>
      <c r="B57" s="25" t="s">
        <v>135</v>
      </c>
      <c r="C57" s="25" t="s">
        <v>42</v>
      </c>
      <c r="D57" s="43">
        <v>1020</v>
      </c>
      <c r="E57" s="41">
        <v>0.2</v>
      </c>
      <c r="F57" s="42">
        <v>0.2</v>
      </c>
      <c r="G57" s="34">
        <f>F57*1.153</f>
        <v>0.23060000000000003</v>
      </c>
      <c r="H57" s="42"/>
      <c r="I57" s="44">
        <f>D57*G57</f>
        <v>235.21200000000002</v>
      </c>
      <c r="J57" s="45">
        <f t="shared" si="6"/>
        <v>235.21200000000002</v>
      </c>
      <c r="K57" s="34"/>
      <c r="L57" s="34"/>
    </row>
    <row r="58" spans="1:12" ht="14.15" x14ac:dyDescent="0.3">
      <c r="A58" s="46" t="s">
        <v>136</v>
      </c>
      <c r="B58" s="25" t="s">
        <v>137</v>
      </c>
      <c r="C58" s="25" t="s">
        <v>42</v>
      </c>
      <c r="D58" s="43">
        <f>(10000*D56)*0.15</f>
        <v>3375</v>
      </c>
      <c r="E58" s="41"/>
      <c r="F58" s="42">
        <v>4</v>
      </c>
      <c r="G58" s="48">
        <f>F58*1.153</f>
        <v>4.6120000000000001</v>
      </c>
      <c r="H58" s="42"/>
      <c r="I58" s="48">
        <f>D58*G58</f>
        <v>15565.5</v>
      </c>
      <c r="J58" s="48">
        <f t="shared" si="6"/>
        <v>15565.5</v>
      </c>
      <c r="K58" s="34"/>
      <c r="L58" s="34"/>
    </row>
    <row r="59" spans="1:12" x14ac:dyDescent="0.3">
      <c r="A59" s="12" t="s">
        <v>138</v>
      </c>
      <c r="B59" s="13" t="s">
        <v>72</v>
      </c>
      <c r="C59" s="25"/>
      <c r="D59" s="43"/>
      <c r="E59" s="41"/>
      <c r="F59" s="42"/>
      <c r="G59" s="34"/>
      <c r="H59" s="42"/>
      <c r="I59" s="44"/>
      <c r="J59" s="34"/>
      <c r="K59" s="34"/>
      <c r="L59" s="34"/>
    </row>
    <row r="60" spans="1:12" ht="14.15" x14ac:dyDescent="0.3">
      <c r="A60" s="37" t="s">
        <v>139</v>
      </c>
      <c r="B60" s="32" t="s">
        <v>140</v>
      </c>
      <c r="C60" s="25" t="s">
        <v>42</v>
      </c>
      <c r="D60" s="43">
        <v>6672</v>
      </c>
      <c r="E60" s="41">
        <v>0.2</v>
      </c>
      <c r="F60" s="42">
        <v>0.2</v>
      </c>
      <c r="G60" s="34">
        <f>F60*1.153</f>
        <v>0.23060000000000003</v>
      </c>
      <c r="H60" s="42"/>
      <c r="I60" s="44">
        <f>D60*G60</f>
        <v>1538.5632000000003</v>
      </c>
      <c r="J60" s="34"/>
      <c r="K60" s="34" t="s">
        <v>262</v>
      </c>
      <c r="L60" s="34"/>
    </row>
    <row r="61" spans="1:12" x14ac:dyDescent="0.3">
      <c r="A61" s="37" t="s">
        <v>141</v>
      </c>
      <c r="B61" s="32" t="s">
        <v>142</v>
      </c>
      <c r="C61" s="26" t="s">
        <v>133</v>
      </c>
      <c r="D61" s="56">
        <f>D60/10000</f>
        <v>0.66720000000000002</v>
      </c>
      <c r="E61" s="41">
        <v>2000</v>
      </c>
      <c r="F61" s="42">
        <v>2000</v>
      </c>
      <c r="G61" s="34">
        <f>F61*1.153</f>
        <v>2306</v>
      </c>
      <c r="H61" s="42"/>
      <c r="I61" s="44">
        <f>D61*G61</f>
        <v>1538.5632000000001</v>
      </c>
      <c r="J61" s="34"/>
      <c r="K61" s="34"/>
      <c r="L61" s="34"/>
    </row>
    <row r="62" spans="1:12" ht="14.15" x14ac:dyDescent="0.3">
      <c r="A62" s="37" t="s">
        <v>143</v>
      </c>
      <c r="B62" s="32" t="s">
        <v>144</v>
      </c>
      <c r="C62" s="25" t="s">
        <v>42</v>
      </c>
      <c r="D62" s="50">
        <f>D60/2*0.15</f>
        <v>500.4</v>
      </c>
      <c r="E62" s="41">
        <v>4</v>
      </c>
      <c r="F62" s="42">
        <v>4</v>
      </c>
      <c r="G62" s="48">
        <f>F62*1.153</f>
        <v>4.6120000000000001</v>
      </c>
      <c r="H62" s="73"/>
      <c r="I62" s="48">
        <f>D62*G62</f>
        <v>2307.8447999999999</v>
      </c>
      <c r="J62" s="34"/>
      <c r="K62" s="48" t="s">
        <v>145</v>
      </c>
      <c r="L62" s="34"/>
    </row>
    <row r="63" spans="1:12" x14ac:dyDescent="0.3">
      <c r="A63" s="14" t="s">
        <v>146</v>
      </c>
      <c r="B63" s="15" t="s">
        <v>93</v>
      </c>
      <c r="C63" s="25"/>
      <c r="D63" s="43"/>
      <c r="E63" s="41"/>
      <c r="F63" s="42"/>
      <c r="G63" s="34"/>
      <c r="H63" s="42"/>
      <c r="I63" s="34"/>
      <c r="J63" s="45"/>
      <c r="K63" s="34"/>
      <c r="L63" s="57"/>
    </row>
    <row r="64" spans="1:12" ht="14.15" x14ac:dyDescent="0.3">
      <c r="A64" s="54" t="s">
        <v>147</v>
      </c>
      <c r="B64" s="22" t="s">
        <v>148</v>
      </c>
      <c r="C64" s="25" t="s">
        <v>42</v>
      </c>
      <c r="D64" s="43">
        <f>(15498/2)+(5425)+(6331/2)</f>
        <v>16339.5</v>
      </c>
      <c r="E64" s="41">
        <v>0.2</v>
      </c>
      <c r="F64" s="42">
        <v>0.2</v>
      </c>
      <c r="G64" s="34">
        <f>E64*1.153</f>
        <v>0.23060000000000003</v>
      </c>
      <c r="H64" s="42"/>
      <c r="I64" s="34"/>
      <c r="J64" s="45">
        <f>D64*G64</f>
        <v>3767.8887000000004</v>
      </c>
      <c r="K64" s="34" t="s">
        <v>152</v>
      </c>
      <c r="L64" s="57"/>
    </row>
    <row r="65" spans="1:12" x14ac:dyDescent="0.3">
      <c r="A65" s="54" t="s">
        <v>150</v>
      </c>
      <c r="B65" s="22" t="s">
        <v>151</v>
      </c>
      <c r="C65" s="26" t="s">
        <v>133</v>
      </c>
      <c r="D65" s="56">
        <f>((15498/2)+(5425)+(6331/2))/10000</f>
        <v>1.63395</v>
      </c>
      <c r="E65" s="41">
        <v>2000</v>
      </c>
      <c r="F65" s="42">
        <v>2000</v>
      </c>
      <c r="G65" s="34">
        <f>E65*1.153</f>
        <v>2306</v>
      </c>
      <c r="H65" s="42"/>
      <c r="I65" s="34"/>
      <c r="J65" s="45">
        <f>D65*G65</f>
        <v>3767.8887</v>
      </c>
      <c r="K65" s="34" t="s">
        <v>152</v>
      </c>
      <c r="L65" s="57"/>
    </row>
    <row r="66" spans="1:12" ht="14.15" x14ac:dyDescent="0.3">
      <c r="A66" s="54" t="s">
        <v>153</v>
      </c>
      <c r="B66" s="22" t="s">
        <v>144</v>
      </c>
      <c r="C66" s="25" t="s">
        <v>42</v>
      </c>
      <c r="D66" s="50">
        <f>(D64-(6331/2))*0.15</f>
        <v>1976.1</v>
      </c>
      <c r="E66" s="41">
        <v>4</v>
      </c>
      <c r="F66" s="42">
        <v>4</v>
      </c>
      <c r="G66" s="48">
        <f>F66*1.153</f>
        <v>4.6120000000000001</v>
      </c>
      <c r="H66" s="42"/>
      <c r="I66" s="34"/>
      <c r="J66" s="48">
        <f>D66*G66</f>
        <v>9113.7731999999996</v>
      </c>
      <c r="K66" s="48" t="s">
        <v>279</v>
      </c>
      <c r="L66" s="57"/>
    </row>
    <row r="67" spans="1:12" x14ac:dyDescent="0.3">
      <c r="A67" s="54" t="s">
        <v>155</v>
      </c>
      <c r="B67" s="22" t="s">
        <v>156</v>
      </c>
      <c r="C67" s="26"/>
      <c r="D67" s="43">
        <v>750</v>
      </c>
      <c r="E67" s="41"/>
      <c r="F67" s="42"/>
      <c r="G67" s="34">
        <v>3.6</v>
      </c>
      <c r="H67" s="42"/>
      <c r="I67" s="34"/>
      <c r="J67" s="45">
        <f>D67*G67</f>
        <v>2700</v>
      </c>
      <c r="K67" s="34" t="s">
        <v>158</v>
      </c>
      <c r="L67" s="57"/>
    </row>
    <row r="68" spans="1:12" x14ac:dyDescent="0.3">
      <c r="A68" s="2">
        <v>4.3</v>
      </c>
      <c r="B68" s="1" t="s">
        <v>159</v>
      </c>
      <c r="C68" s="26"/>
      <c r="D68" s="58"/>
      <c r="E68" s="41"/>
      <c r="F68" s="42"/>
      <c r="G68" s="34"/>
      <c r="H68" s="42"/>
      <c r="I68" s="34"/>
      <c r="J68" s="45"/>
      <c r="K68" s="34"/>
      <c r="L68" s="34"/>
    </row>
    <row r="69" spans="1:12" ht="14.15" x14ac:dyDescent="0.3">
      <c r="A69" s="46" t="s">
        <v>160</v>
      </c>
      <c r="B69" s="25" t="s">
        <v>161</v>
      </c>
      <c r="C69" s="25" t="s">
        <v>42</v>
      </c>
      <c r="D69" s="43">
        <v>500</v>
      </c>
      <c r="E69" s="41">
        <v>0.2</v>
      </c>
      <c r="F69" s="42">
        <v>0.2</v>
      </c>
      <c r="G69" s="34">
        <f>F69*1.153</f>
        <v>0.23060000000000003</v>
      </c>
      <c r="H69" s="42"/>
      <c r="I69" s="44">
        <f>D69*G69</f>
        <v>115.30000000000001</v>
      </c>
      <c r="J69" s="45">
        <f>I69</f>
        <v>115.30000000000001</v>
      </c>
      <c r="K69" s="34" t="s">
        <v>162</v>
      </c>
      <c r="L69" s="34"/>
    </row>
    <row r="70" spans="1:12" x14ac:dyDescent="0.3">
      <c r="A70" s="46" t="s">
        <v>163</v>
      </c>
      <c r="B70" s="25" t="s">
        <v>164</v>
      </c>
      <c r="C70" s="25" t="s">
        <v>133</v>
      </c>
      <c r="D70" s="56">
        <v>0.05</v>
      </c>
      <c r="E70" s="41">
        <v>2000</v>
      </c>
      <c r="F70" s="42">
        <v>2000</v>
      </c>
      <c r="G70" s="34">
        <f>F70*1.153</f>
        <v>2306</v>
      </c>
      <c r="H70" s="42"/>
      <c r="I70" s="44">
        <f>D70*G70</f>
        <v>115.30000000000001</v>
      </c>
      <c r="J70" s="45">
        <f t="shared" ref="J70:J77" si="7">I70</f>
        <v>115.30000000000001</v>
      </c>
      <c r="K70" s="34"/>
      <c r="L70" s="34"/>
    </row>
    <row r="71" spans="1:12" ht="14.15" x14ac:dyDescent="0.3">
      <c r="A71" s="46" t="s">
        <v>165</v>
      </c>
      <c r="B71" s="25" t="s">
        <v>137</v>
      </c>
      <c r="C71" s="25" t="s">
        <v>42</v>
      </c>
      <c r="D71" s="43">
        <f>D69*0.15</f>
        <v>75</v>
      </c>
      <c r="E71" s="41"/>
      <c r="F71" s="42">
        <v>4</v>
      </c>
      <c r="G71" s="48">
        <f>F71*1.153</f>
        <v>4.6120000000000001</v>
      </c>
      <c r="H71" s="42"/>
      <c r="I71" s="48">
        <f>D71*G71</f>
        <v>345.90000000000003</v>
      </c>
      <c r="J71" s="48">
        <f t="shared" si="7"/>
        <v>345.90000000000003</v>
      </c>
      <c r="K71" s="34"/>
      <c r="L71" s="34"/>
    </row>
    <row r="72" spans="1:12" x14ac:dyDescent="0.3">
      <c r="A72" s="46" t="s">
        <v>166</v>
      </c>
      <c r="B72" s="25" t="s">
        <v>156</v>
      </c>
      <c r="C72" s="26"/>
      <c r="D72" s="43">
        <v>250</v>
      </c>
      <c r="E72" s="41"/>
      <c r="F72" s="42"/>
      <c r="G72" s="34">
        <v>3.6</v>
      </c>
      <c r="H72" s="42"/>
      <c r="I72" s="44">
        <f>D72*G72</f>
        <v>900</v>
      </c>
      <c r="J72" s="45">
        <f t="shared" si="7"/>
        <v>900</v>
      </c>
      <c r="K72" s="34" t="s">
        <v>167</v>
      </c>
      <c r="L72" s="34"/>
    </row>
    <row r="73" spans="1:12" x14ac:dyDescent="0.3">
      <c r="A73" s="2">
        <v>4.5</v>
      </c>
      <c r="B73" s="1" t="s">
        <v>168</v>
      </c>
      <c r="C73" s="25"/>
      <c r="D73" s="43"/>
      <c r="E73" s="41"/>
      <c r="F73" s="42"/>
      <c r="G73" s="34"/>
      <c r="H73" s="42"/>
      <c r="I73" s="44"/>
      <c r="J73" s="45"/>
      <c r="K73" s="34"/>
      <c r="L73" s="34"/>
    </row>
    <row r="74" spans="1:12" ht="14.15" x14ac:dyDescent="0.3">
      <c r="A74" s="46" t="s">
        <v>169</v>
      </c>
      <c r="B74" s="25" t="s">
        <v>170</v>
      </c>
      <c r="C74" s="25" t="s">
        <v>42</v>
      </c>
      <c r="D74" s="43">
        <v>3500</v>
      </c>
      <c r="E74" s="41">
        <v>0.21</v>
      </c>
      <c r="F74" s="42">
        <v>0.5</v>
      </c>
      <c r="G74" s="48">
        <f>0.5*1.153</f>
        <v>0.57650000000000001</v>
      </c>
      <c r="H74" s="42"/>
      <c r="I74" s="48">
        <f>D74*G74</f>
        <v>2017.75</v>
      </c>
      <c r="J74" s="45">
        <f t="shared" si="7"/>
        <v>2017.75</v>
      </c>
      <c r="K74" s="34"/>
      <c r="L74" s="34"/>
    </row>
    <row r="75" spans="1:12" x14ac:dyDescent="0.3">
      <c r="A75" s="46"/>
      <c r="B75" s="25"/>
      <c r="C75" s="25"/>
      <c r="D75" s="43"/>
      <c r="E75" s="41"/>
      <c r="F75" s="42"/>
      <c r="G75" s="34"/>
      <c r="H75" s="42"/>
      <c r="I75" s="44"/>
      <c r="J75" s="45"/>
      <c r="K75" s="34"/>
      <c r="L75" s="34"/>
    </row>
    <row r="76" spans="1:12" x14ac:dyDescent="0.3">
      <c r="A76" s="2">
        <v>5</v>
      </c>
      <c r="B76" s="1" t="s">
        <v>171</v>
      </c>
      <c r="C76" s="25"/>
      <c r="D76" s="43"/>
      <c r="E76" s="41"/>
      <c r="F76" s="42"/>
      <c r="G76" s="34"/>
      <c r="H76" s="42"/>
      <c r="I76" s="44"/>
      <c r="J76" s="45"/>
      <c r="K76" s="34"/>
      <c r="L76" s="34"/>
    </row>
    <row r="77" spans="1:12" x14ac:dyDescent="0.3">
      <c r="A77" s="46">
        <v>5.0999999999999996</v>
      </c>
      <c r="B77" s="25" t="s">
        <v>172</v>
      </c>
      <c r="C77" s="25" t="s">
        <v>23</v>
      </c>
      <c r="D77" s="59"/>
      <c r="E77" s="41">
        <v>4200</v>
      </c>
      <c r="F77" s="42">
        <v>4200</v>
      </c>
      <c r="G77" s="34"/>
      <c r="H77" s="42">
        <v>4200</v>
      </c>
      <c r="I77" s="44">
        <f t="shared" ref="I77" si="8">H77*1.153</f>
        <v>4842.6000000000004</v>
      </c>
      <c r="J77" s="45">
        <f t="shared" si="7"/>
        <v>4842.6000000000004</v>
      </c>
      <c r="K77" s="34" t="s">
        <v>24</v>
      </c>
      <c r="L77" s="34"/>
    </row>
    <row r="78" spans="1:12" x14ac:dyDescent="0.3">
      <c r="A78" s="46"/>
      <c r="B78" s="3" t="s">
        <v>173</v>
      </c>
      <c r="C78" s="25"/>
      <c r="D78" s="59"/>
      <c r="E78" s="41"/>
      <c r="F78" s="42"/>
      <c r="G78" s="34"/>
      <c r="H78" s="42"/>
      <c r="I78" s="44">
        <f>SUM(I5:I77)</f>
        <v>284095.88043199998</v>
      </c>
      <c r="J78" s="45">
        <f>SUM(J5:J77)</f>
        <v>306604.11971649993</v>
      </c>
      <c r="K78" s="34"/>
      <c r="L78" s="34"/>
    </row>
    <row r="79" spans="1:12" x14ac:dyDescent="0.3">
      <c r="A79" s="46"/>
      <c r="B79" s="3"/>
      <c r="C79" s="25"/>
      <c r="D79" s="59"/>
      <c r="E79" s="41"/>
      <c r="F79" s="42"/>
      <c r="G79" s="34"/>
      <c r="H79" s="42"/>
      <c r="I79" s="44"/>
      <c r="J79" s="45"/>
      <c r="K79" s="34"/>
      <c r="L79" s="34"/>
    </row>
    <row r="80" spans="1:12" x14ac:dyDescent="0.3">
      <c r="A80" s="2">
        <v>6</v>
      </c>
      <c r="B80" s="1" t="s">
        <v>174</v>
      </c>
      <c r="C80" s="25"/>
      <c r="D80" s="59"/>
      <c r="E80" s="41"/>
      <c r="F80" s="42"/>
      <c r="G80" s="34"/>
      <c r="H80" s="42"/>
      <c r="I80" s="44"/>
      <c r="J80" s="45"/>
      <c r="K80" s="34"/>
      <c r="L80" s="34"/>
    </row>
    <row r="81" spans="1:11" x14ac:dyDescent="0.3">
      <c r="A81" s="46">
        <v>6.1</v>
      </c>
      <c r="B81" s="47" t="s">
        <v>175</v>
      </c>
      <c r="C81" s="25" t="s">
        <v>176</v>
      </c>
      <c r="D81" s="87"/>
      <c r="E81" s="48">
        <v>7.0000000000000007E-2</v>
      </c>
      <c r="F81" s="48">
        <v>8.5000000000000006E-2</v>
      </c>
      <c r="G81" s="119">
        <v>8.5000000000000006E-2</v>
      </c>
      <c r="H81" s="48"/>
      <c r="I81" s="48">
        <f>I78*G81</f>
        <v>24148.14983672</v>
      </c>
      <c r="J81" s="48">
        <f>J78*G81</f>
        <v>26061.350175902495</v>
      </c>
      <c r="K81" s="34" t="s">
        <v>177</v>
      </c>
    </row>
    <row r="82" spans="1:11" x14ac:dyDescent="0.3">
      <c r="A82" s="46"/>
      <c r="B82" s="25"/>
      <c r="C82" s="25"/>
      <c r="D82" s="59"/>
      <c r="E82" s="41"/>
      <c r="F82" s="42"/>
      <c r="G82" s="34"/>
      <c r="H82" s="42"/>
      <c r="I82" s="44"/>
      <c r="J82" s="45"/>
      <c r="K82" s="34"/>
    </row>
    <row r="83" spans="1:11" x14ac:dyDescent="0.3">
      <c r="A83" s="46"/>
      <c r="B83" s="3" t="s">
        <v>178</v>
      </c>
      <c r="C83" s="25"/>
      <c r="D83" s="59"/>
      <c r="E83" s="41"/>
      <c r="F83" s="42"/>
      <c r="G83" s="34"/>
      <c r="H83" s="42"/>
      <c r="I83" s="16">
        <f>SUM(I78:I81)</f>
        <v>308244.03026872</v>
      </c>
      <c r="J83" s="17">
        <f>SUM(J78:J81)</f>
        <v>332665.46989240241</v>
      </c>
      <c r="K83" s="34"/>
    </row>
    <row r="84" spans="1:11" x14ac:dyDescent="0.3">
      <c r="A84" s="46"/>
      <c r="B84" s="3"/>
      <c r="C84" s="25"/>
      <c r="D84" s="59"/>
      <c r="E84" s="41"/>
      <c r="F84" s="42"/>
      <c r="G84" s="34"/>
      <c r="H84" s="42"/>
      <c r="I84" s="44"/>
      <c r="J84" s="45"/>
      <c r="K84" s="34"/>
    </row>
    <row r="85" spans="1:11" x14ac:dyDescent="0.3">
      <c r="A85" s="2">
        <v>7</v>
      </c>
      <c r="B85" s="1" t="s">
        <v>179</v>
      </c>
      <c r="C85" s="25"/>
      <c r="D85" s="59"/>
      <c r="E85" s="41">
        <v>0.1</v>
      </c>
      <c r="F85" s="42"/>
      <c r="G85" s="60">
        <v>0.1</v>
      </c>
      <c r="H85" s="42"/>
      <c r="I85" s="44">
        <f>I83*G85</f>
        <v>30824.403026872002</v>
      </c>
      <c r="J85" s="45">
        <f>J83*G85</f>
        <v>33266.54698924024</v>
      </c>
      <c r="K85" s="34"/>
    </row>
    <row r="86" spans="1:11" x14ac:dyDescent="0.3">
      <c r="A86" s="46"/>
      <c r="B86" s="3" t="s">
        <v>180</v>
      </c>
      <c r="C86" s="25"/>
      <c r="D86" s="59"/>
      <c r="E86" s="41"/>
      <c r="F86" s="42"/>
      <c r="G86" s="34"/>
      <c r="H86" s="42"/>
      <c r="I86" s="16">
        <f>SUM(I83:I85)</f>
        <v>339068.43329559203</v>
      </c>
      <c r="J86" s="17">
        <f>SUM(J83:J85)</f>
        <v>365932.01688164263</v>
      </c>
      <c r="K86" s="34"/>
    </row>
    <row r="87" spans="1:11" x14ac:dyDescent="0.3">
      <c r="A87" s="46"/>
      <c r="B87" s="3"/>
      <c r="C87" s="25"/>
      <c r="D87" s="59"/>
      <c r="E87" s="41"/>
      <c r="F87" s="42"/>
      <c r="G87" s="34"/>
      <c r="H87" s="42"/>
      <c r="I87" s="44"/>
      <c r="J87" s="45"/>
      <c r="K87" s="34"/>
    </row>
    <row r="88" spans="1:11" x14ac:dyDescent="0.3">
      <c r="A88" s="2">
        <v>8</v>
      </c>
      <c r="B88" s="1" t="s">
        <v>181</v>
      </c>
      <c r="C88" s="25" t="s">
        <v>182</v>
      </c>
      <c r="D88" s="43">
        <v>2</v>
      </c>
      <c r="E88" s="41">
        <v>3.5000000000000003E-2</v>
      </c>
      <c r="F88" s="42"/>
      <c r="G88" s="34">
        <v>3.5000000000000003E-2</v>
      </c>
      <c r="H88" s="42"/>
      <c r="I88" s="44">
        <f>I86*G88*D88</f>
        <v>23734.790330691445</v>
      </c>
      <c r="J88" s="45">
        <f>J86*G88*D88</f>
        <v>25615.241181714988</v>
      </c>
      <c r="K88" s="34"/>
    </row>
    <row r="89" spans="1:11" x14ac:dyDescent="0.3">
      <c r="A89" s="46"/>
      <c r="B89" s="2"/>
      <c r="C89" s="25"/>
      <c r="D89" s="59"/>
      <c r="E89" s="41"/>
      <c r="F89" s="42"/>
      <c r="G89" s="34"/>
      <c r="H89" s="42"/>
      <c r="I89" s="44"/>
      <c r="J89" s="45"/>
      <c r="K89" s="34"/>
    </row>
    <row r="90" spans="1:11" x14ac:dyDescent="0.3">
      <c r="A90" s="46"/>
      <c r="B90" s="3" t="s">
        <v>184</v>
      </c>
      <c r="C90" s="25"/>
      <c r="D90" s="21"/>
      <c r="E90" s="41"/>
      <c r="F90" s="42"/>
      <c r="H90" s="42"/>
      <c r="I90" s="18">
        <f>SUM(I86:I88)</f>
        <v>362803.22362628346</v>
      </c>
      <c r="J90" s="18">
        <f>SUM(J86:J88)</f>
        <v>391547.25806335761</v>
      </c>
      <c r="K90" s="34"/>
    </row>
    <row r="91" spans="1:11" x14ac:dyDescent="0.3">
      <c r="A91" s="46"/>
      <c r="B91" s="3"/>
      <c r="C91" s="25"/>
      <c r="D91" s="21"/>
      <c r="E91" s="41"/>
      <c r="F91" s="42"/>
      <c r="H91" s="42"/>
      <c r="I91" s="16"/>
      <c r="J91" s="17"/>
      <c r="K91" s="34"/>
    </row>
    <row r="92" spans="1:11" x14ac:dyDescent="0.3">
      <c r="A92" s="2">
        <v>9</v>
      </c>
      <c r="B92" s="1" t="s">
        <v>185</v>
      </c>
      <c r="C92" s="25"/>
      <c r="D92" s="59"/>
      <c r="E92" s="41"/>
      <c r="F92" s="42"/>
      <c r="G92" s="34"/>
      <c r="H92" s="42"/>
      <c r="I92" s="44"/>
      <c r="J92" s="45"/>
      <c r="K92" s="34"/>
    </row>
    <row r="93" spans="1:11" x14ac:dyDescent="0.3">
      <c r="A93" s="46">
        <v>9.1</v>
      </c>
      <c r="B93" s="25" t="s">
        <v>186</v>
      </c>
      <c r="C93" s="25" t="s">
        <v>187</v>
      </c>
      <c r="D93" s="43">
        <v>6</v>
      </c>
      <c r="E93" s="41">
        <v>300</v>
      </c>
      <c r="F93" s="42">
        <v>300</v>
      </c>
      <c r="G93" s="34">
        <f>F93*1.153</f>
        <v>345.90000000000003</v>
      </c>
      <c r="H93" s="42"/>
      <c r="I93" s="44">
        <f>D93*G93</f>
        <v>2075.4</v>
      </c>
      <c r="J93" s="45">
        <f>I93</f>
        <v>2075.4</v>
      </c>
      <c r="K93" s="34"/>
    </row>
    <row r="94" spans="1:11" x14ac:dyDescent="0.3">
      <c r="A94" s="46">
        <v>9.1999999999999993</v>
      </c>
      <c r="B94" s="25" t="s">
        <v>188</v>
      </c>
      <c r="C94" s="25" t="s">
        <v>182</v>
      </c>
      <c r="D94" s="43">
        <v>1</v>
      </c>
      <c r="E94" s="41">
        <v>750</v>
      </c>
      <c r="F94" s="42">
        <v>750</v>
      </c>
      <c r="G94" s="34">
        <f>F94*1.153</f>
        <v>864.75</v>
      </c>
      <c r="H94" s="42"/>
      <c r="I94" s="44">
        <f>D94*G94</f>
        <v>864.75</v>
      </c>
      <c r="J94" s="45">
        <f>I94</f>
        <v>864.75</v>
      </c>
      <c r="K94" s="36"/>
    </row>
    <row r="95" spans="1:11" x14ac:dyDescent="0.3">
      <c r="A95" s="37" t="s">
        <v>189</v>
      </c>
      <c r="B95" s="32" t="s">
        <v>190</v>
      </c>
      <c r="C95" s="25"/>
      <c r="D95" s="43"/>
      <c r="E95" s="41"/>
      <c r="F95" s="42"/>
      <c r="G95" s="34"/>
      <c r="H95" s="42"/>
      <c r="I95" s="44"/>
      <c r="J95" s="34"/>
      <c r="K95" s="36"/>
    </row>
    <row r="96" spans="1:11" x14ac:dyDescent="0.3">
      <c r="A96" s="37" t="s">
        <v>191</v>
      </c>
      <c r="B96" s="32" t="s">
        <v>192</v>
      </c>
      <c r="C96" s="25" t="s">
        <v>133</v>
      </c>
      <c r="D96" s="56">
        <f>SUM(D70,D61, D56)*0.2</f>
        <v>0.59344000000000008</v>
      </c>
      <c r="E96" s="41">
        <v>2000</v>
      </c>
      <c r="F96" s="42">
        <v>2000</v>
      </c>
      <c r="G96" s="34">
        <f>F96*1.153</f>
        <v>2306</v>
      </c>
      <c r="H96" s="42"/>
      <c r="I96" s="44">
        <f>D96*G96</f>
        <v>1368.4726400000002</v>
      </c>
      <c r="J96" s="34"/>
      <c r="K96" s="34" t="s">
        <v>193</v>
      </c>
    </row>
    <row r="97" spans="1:625" x14ac:dyDescent="0.3">
      <c r="A97" s="37" t="s">
        <v>194</v>
      </c>
      <c r="B97" s="32" t="s">
        <v>195</v>
      </c>
      <c r="C97" s="26"/>
      <c r="D97" s="43">
        <f>D96*10000*0.15</f>
        <v>890.16000000000008</v>
      </c>
      <c r="E97" s="41">
        <v>4</v>
      </c>
      <c r="F97" s="42">
        <v>4</v>
      </c>
      <c r="G97" s="34">
        <f>F97*1.153</f>
        <v>4.6120000000000001</v>
      </c>
      <c r="H97" s="42"/>
      <c r="I97" s="44">
        <f>D97*G97</f>
        <v>4105.4179200000008</v>
      </c>
      <c r="J97" s="34"/>
      <c r="K97" s="34" t="s">
        <v>196</v>
      </c>
      <c r="L97" s="34"/>
      <c r="M97" s="34"/>
      <c r="N97" s="34"/>
      <c r="O97" s="34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  <c r="IO97" s="25"/>
      <c r="IP97" s="25"/>
      <c r="IQ97" s="25"/>
      <c r="IR97" s="25"/>
      <c r="IS97" s="25"/>
      <c r="IT97" s="25"/>
      <c r="IU97" s="25"/>
      <c r="IV97" s="25"/>
      <c r="IW97" s="25"/>
      <c r="IX97" s="25"/>
      <c r="IY97" s="25"/>
      <c r="IZ97" s="25"/>
      <c r="JA97" s="25"/>
      <c r="JB97" s="25"/>
      <c r="JC97" s="25"/>
      <c r="JD97" s="25"/>
      <c r="JE97" s="25"/>
      <c r="JF97" s="25"/>
      <c r="JG97" s="25"/>
      <c r="JH97" s="25"/>
      <c r="JI97" s="25"/>
      <c r="JJ97" s="25"/>
      <c r="JK97" s="25"/>
      <c r="JL97" s="25"/>
      <c r="JM97" s="25"/>
      <c r="JN97" s="25"/>
      <c r="JO97" s="25"/>
      <c r="JP97" s="25"/>
      <c r="JQ97" s="25"/>
      <c r="JR97" s="25"/>
      <c r="JS97" s="25"/>
      <c r="JT97" s="25"/>
      <c r="JU97" s="25"/>
      <c r="JV97" s="25"/>
      <c r="JW97" s="25"/>
      <c r="JX97" s="25"/>
      <c r="JY97" s="25"/>
      <c r="JZ97" s="25"/>
      <c r="KA97" s="25"/>
      <c r="KB97" s="25"/>
      <c r="KC97" s="25"/>
      <c r="KD97" s="25"/>
      <c r="KE97" s="25"/>
      <c r="KF97" s="25"/>
      <c r="KG97" s="25"/>
      <c r="KH97" s="25"/>
      <c r="KI97" s="25"/>
      <c r="KJ97" s="25"/>
      <c r="KK97" s="25"/>
      <c r="KL97" s="25"/>
      <c r="KM97" s="25"/>
      <c r="KN97" s="25"/>
      <c r="KO97" s="25"/>
      <c r="KP97" s="25"/>
      <c r="KQ97" s="25"/>
      <c r="KR97" s="25"/>
      <c r="KS97" s="25"/>
      <c r="KT97" s="25"/>
      <c r="KU97" s="25"/>
      <c r="KV97" s="25"/>
      <c r="KW97" s="25"/>
      <c r="KX97" s="25"/>
      <c r="KY97" s="25"/>
      <c r="KZ97" s="25"/>
      <c r="LA97" s="25"/>
      <c r="LB97" s="25"/>
      <c r="LC97" s="25"/>
      <c r="LD97" s="25"/>
      <c r="LE97" s="25"/>
      <c r="LF97" s="25"/>
      <c r="LG97" s="25"/>
      <c r="LH97" s="25"/>
      <c r="LI97" s="25"/>
      <c r="LJ97" s="25"/>
      <c r="LK97" s="25"/>
      <c r="LL97" s="25"/>
      <c r="LM97" s="25"/>
      <c r="LN97" s="25"/>
      <c r="LO97" s="25"/>
      <c r="LP97" s="25"/>
      <c r="LQ97" s="25"/>
      <c r="LR97" s="25"/>
      <c r="LS97" s="25"/>
      <c r="LT97" s="25"/>
      <c r="LU97" s="25"/>
      <c r="LV97" s="25"/>
      <c r="LW97" s="25"/>
      <c r="LX97" s="25"/>
      <c r="LY97" s="25"/>
      <c r="LZ97" s="25"/>
      <c r="MA97" s="25"/>
      <c r="MB97" s="25"/>
      <c r="MC97" s="25"/>
      <c r="MD97" s="25"/>
      <c r="ME97" s="25"/>
      <c r="MF97" s="25"/>
      <c r="MG97" s="25"/>
      <c r="MH97" s="25"/>
      <c r="MI97" s="25"/>
      <c r="MJ97" s="25"/>
      <c r="MK97" s="25"/>
      <c r="ML97" s="25"/>
      <c r="MM97" s="25"/>
      <c r="MN97" s="25"/>
      <c r="MO97" s="25"/>
      <c r="MP97" s="25"/>
      <c r="MQ97" s="25"/>
      <c r="MR97" s="25"/>
      <c r="MS97" s="25"/>
      <c r="MT97" s="25"/>
      <c r="MU97" s="25"/>
      <c r="MV97" s="25"/>
      <c r="MW97" s="25"/>
      <c r="MX97" s="25"/>
      <c r="MY97" s="25"/>
      <c r="MZ97" s="25"/>
      <c r="NA97" s="25"/>
      <c r="NB97" s="25"/>
      <c r="NC97" s="25"/>
      <c r="ND97" s="25"/>
      <c r="NE97" s="25"/>
      <c r="NF97" s="25"/>
      <c r="NG97" s="25"/>
      <c r="NH97" s="25"/>
      <c r="NI97" s="25"/>
      <c r="NJ97" s="25"/>
      <c r="NK97" s="25"/>
      <c r="NL97" s="25"/>
      <c r="NM97" s="25"/>
      <c r="NN97" s="25"/>
      <c r="NO97" s="25"/>
      <c r="NP97" s="25"/>
      <c r="NQ97" s="25"/>
      <c r="NR97" s="25"/>
      <c r="NS97" s="25"/>
      <c r="NT97" s="25"/>
      <c r="NU97" s="25"/>
      <c r="NV97" s="25"/>
      <c r="NW97" s="25"/>
      <c r="NX97" s="25"/>
      <c r="NY97" s="25"/>
      <c r="NZ97" s="25"/>
      <c r="OA97" s="25"/>
      <c r="OB97" s="25"/>
      <c r="OC97" s="25"/>
      <c r="OD97" s="25"/>
      <c r="OE97" s="25"/>
      <c r="OF97" s="25"/>
      <c r="OG97" s="25"/>
      <c r="OH97" s="25"/>
      <c r="OI97" s="25"/>
      <c r="OJ97" s="25"/>
      <c r="OK97" s="25"/>
      <c r="OL97" s="25"/>
      <c r="OM97" s="25"/>
      <c r="ON97" s="25"/>
      <c r="OO97" s="25"/>
      <c r="OP97" s="25"/>
      <c r="OQ97" s="25"/>
      <c r="OR97" s="25"/>
      <c r="OS97" s="25"/>
      <c r="OT97" s="25"/>
      <c r="OU97" s="25"/>
      <c r="OV97" s="25"/>
      <c r="OW97" s="25"/>
      <c r="OX97" s="25"/>
      <c r="OY97" s="25"/>
      <c r="OZ97" s="25"/>
      <c r="PA97" s="25"/>
      <c r="PB97" s="25"/>
      <c r="PC97" s="25"/>
      <c r="PD97" s="25"/>
      <c r="PE97" s="25"/>
      <c r="PF97" s="25"/>
      <c r="PG97" s="25"/>
      <c r="PH97" s="25"/>
      <c r="PI97" s="25"/>
      <c r="PJ97" s="25"/>
      <c r="PK97" s="25"/>
      <c r="PL97" s="25"/>
      <c r="PM97" s="25"/>
      <c r="PN97" s="25"/>
      <c r="PO97" s="25"/>
      <c r="PP97" s="25"/>
      <c r="PQ97" s="25"/>
      <c r="PR97" s="25"/>
      <c r="PS97" s="25"/>
      <c r="PT97" s="25"/>
      <c r="PU97" s="25"/>
      <c r="PV97" s="25"/>
      <c r="PW97" s="25"/>
      <c r="PX97" s="25"/>
      <c r="PY97" s="25"/>
      <c r="PZ97" s="25"/>
      <c r="QA97" s="25"/>
      <c r="QB97" s="25"/>
      <c r="QC97" s="25"/>
      <c r="QD97" s="25"/>
      <c r="QE97" s="25"/>
      <c r="QF97" s="25"/>
      <c r="QG97" s="25"/>
      <c r="QH97" s="25"/>
      <c r="QI97" s="25"/>
      <c r="QJ97" s="25"/>
      <c r="QK97" s="25"/>
      <c r="QL97" s="25"/>
      <c r="QM97" s="25"/>
      <c r="QN97" s="25"/>
      <c r="QO97" s="25"/>
      <c r="QP97" s="25"/>
      <c r="QQ97" s="25"/>
      <c r="QR97" s="25"/>
      <c r="QS97" s="25"/>
      <c r="QT97" s="25"/>
      <c r="QU97" s="25"/>
      <c r="QV97" s="25"/>
      <c r="QW97" s="25"/>
      <c r="QX97" s="25"/>
      <c r="QY97" s="25"/>
      <c r="QZ97" s="25"/>
      <c r="RA97" s="25"/>
      <c r="RB97" s="25"/>
      <c r="RC97" s="25"/>
      <c r="RD97" s="25"/>
      <c r="RE97" s="25"/>
      <c r="RF97" s="25"/>
      <c r="RG97" s="25"/>
      <c r="RH97" s="25"/>
      <c r="RI97" s="25"/>
      <c r="RJ97" s="25"/>
      <c r="RK97" s="25"/>
      <c r="RL97" s="25"/>
      <c r="RM97" s="25"/>
      <c r="RN97" s="25"/>
      <c r="RO97" s="25"/>
      <c r="RP97" s="25"/>
      <c r="RQ97" s="25"/>
      <c r="RR97" s="25"/>
      <c r="RS97" s="25"/>
      <c r="RT97" s="25"/>
      <c r="RU97" s="25"/>
      <c r="RV97" s="25"/>
      <c r="RW97" s="25"/>
      <c r="RX97" s="25"/>
      <c r="RY97" s="25"/>
      <c r="RZ97" s="25"/>
      <c r="SA97" s="25"/>
      <c r="SB97" s="25"/>
      <c r="SC97" s="25"/>
      <c r="SD97" s="25"/>
      <c r="SE97" s="25"/>
      <c r="SF97" s="25"/>
      <c r="SG97" s="25"/>
      <c r="SH97" s="25"/>
      <c r="SI97" s="25"/>
      <c r="SJ97" s="25"/>
      <c r="SK97" s="25"/>
      <c r="SL97" s="25"/>
      <c r="SM97" s="25"/>
      <c r="SN97" s="25"/>
      <c r="SO97" s="25"/>
      <c r="SP97" s="25"/>
      <c r="SQ97" s="25"/>
      <c r="SR97" s="25"/>
      <c r="SS97" s="25"/>
      <c r="ST97" s="25"/>
      <c r="SU97" s="25"/>
      <c r="SV97" s="25"/>
      <c r="SW97" s="25"/>
      <c r="SX97" s="25"/>
      <c r="SY97" s="25"/>
      <c r="SZ97" s="25"/>
      <c r="TA97" s="25"/>
      <c r="TB97" s="25"/>
      <c r="TC97" s="25"/>
      <c r="TD97" s="25"/>
      <c r="TE97" s="25"/>
      <c r="TF97" s="25"/>
      <c r="TG97" s="25"/>
      <c r="TH97" s="25"/>
      <c r="TI97" s="25"/>
      <c r="TJ97" s="25"/>
      <c r="TK97" s="25"/>
      <c r="TL97" s="25"/>
      <c r="TM97" s="25"/>
      <c r="TN97" s="25"/>
      <c r="TO97" s="25"/>
      <c r="TP97" s="25"/>
      <c r="TQ97" s="25"/>
      <c r="TR97" s="25"/>
      <c r="TS97" s="25"/>
      <c r="TT97" s="25"/>
      <c r="TU97" s="25"/>
      <c r="TV97" s="25"/>
      <c r="TW97" s="25"/>
      <c r="TX97" s="25"/>
      <c r="TY97" s="25"/>
      <c r="TZ97" s="25"/>
      <c r="UA97" s="25"/>
      <c r="UB97" s="25"/>
      <c r="UC97" s="25"/>
      <c r="UD97" s="25"/>
      <c r="UE97" s="25"/>
      <c r="UF97" s="25"/>
      <c r="UG97" s="25"/>
      <c r="UH97" s="25"/>
      <c r="UI97" s="25"/>
      <c r="UJ97" s="25"/>
      <c r="UK97" s="25"/>
      <c r="UL97" s="25"/>
      <c r="UM97" s="25"/>
      <c r="UN97" s="25"/>
      <c r="UO97" s="25"/>
      <c r="UP97" s="25"/>
      <c r="UQ97" s="25"/>
      <c r="UR97" s="25"/>
      <c r="US97" s="25"/>
      <c r="UT97" s="25"/>
      <c r="UU97" s="25"/>
      <c r="UV97" s="25"/>
      <c r="UW97" s="25"/>
      <c r="UX97" s="25"/>
      <c r="UY97" s="25"/>
      <c r="UZ97" s="25"/>
      <c r="VA97" s="25"/>
      <c r="VB97" s="25"/>
      <c r="VC97" s="25"/>
      <c r="VD97" s="25"/>
      <c r="VE97" s="25"/>
      <c r="VF97" s="25"/>
      <c r="VG97" s="25"/>
      <c r="VH97" s="25"/>
      <c r="VI97" s="25"/>
      <c r="VJ97" s="25"/>
      <c r="VK97" s="25"/>
      <c r="VL97" s="25"/>
      <c r="VM97" s="25"/>
      <c r="VN97" s="25"/>
      <c r="VO97" s="25"/>
      <c r="VP97" s="25"/>
      <c r="VQ97" s="25"/>
      <c r="VR97" s="25"/>
      <c r="VS97" s="25"/>
      <c r="VT97" s="25"/>
      <c r="VU97" s="25"/>
      <c r="VV97" s="25"/>
      <c r="VW97" s="25"/>
      <c r="VX97" s="25"/>
      <c r="VY97" s="25"/>
      <c r="VZ97" s="25"/>
      <c r="WA97" s="25"/>
      <c r="WB97" s="25"/>
      <c r="WC97" s="25"/>
      <c r="WD97" s="25"/>
      <c r="WE97" s="25"/>
      <c r="WF97" s="25"/>
      <c r="WG97" s="25"/>
      <c r="WH97" s="25"/>
      <c r="WI97" s="25"/>
      <c r="WJ97" s="25"/>
      <c r="WK97" s="25"/>
      <c r="WL97" s="25"/>
      <c r="WM97" s="25"/>
      <c r="WN97" s="25"/>
      <c r="WO97" s="25"/>
      <c r="WP97" s="25"/>
      <c r="WQ97" s="25"/>
      <c r="WR97" s="25"/>
      <c r="WS97" s="25"/>
      <c r="WT97" s="25"/>
      <c r="WU97" s="25"/>
      <c r="WV97" s="25"/>
      <c r="WW97" s="25"/>
      <c r="WX97" s="25"/>
      <c r="WY97" s="25"/>
      <c r="WZ97" s="25"/>
      <c r="XA97" s="25"/>
    </row>
    <row r="98" spans="1:625" x14ac:dyDescent="0.3">
      <c r="A98" s="37" t="s">
        <v>197</v>
      </c>
      <c r="B98" s="32" t="s">
        <v>198</v>
      </c>
      <c r="C98" s="25" t="s">
        <v>133</v>
      </c>
      <c r="D98" s="56">
        <f>D96/2</f>
        <v>0.29672000000000004</v>
      </c>
      <c r="E98" s="41">
        <v>2000</v>
      </c>
      <c r="F98" s="42">
        <v>2000</v>
      </c>
      <c r="G98" s="34">
        <f t="shared" ref="G98:G99" si="9">F98*1.153</f>
        <v>2306</v>
      </c>
      <c r="H98" s="42"/>
      <c r="I98" s="44">
        <f>D98*G98</f>
        <v>684.23632000000009</v>
      </c>
      <c r="J98" s="34"/>
      <c r="K98" s="34" t="s">
        <v>199</v>
      </c>
      <c r="L98" s="34"/>
      <c r="M98" s="34"/>
      <c r="N98" s="34"/>
      <c r="O98" s="34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5"/>
      <c r="IR98" s="25"/>
      <c r="IS98" s="25"/>
      <c r="IT98" s="25"/>
      <c r="IU98" s="25"/>
      <c r="IV98" s="25"/>
      <c r="IW98" s="25"/>
      <c r="IX98" s="25"/>
      <c r="IY98" s="25"/>
      <c r="IZ98" s="25"/>
      <c r="JA98" s="25"/>
      <c r="JB98" s="25"/>
      <c r="JC98" s="25"/>
      <c r="JD98" s="25"/>
      <c r="JE98" s="25"/>
      <c r="JF98" s="25"/>
      <c r="JG98" s="25"/>
      <c r="JH98" s="25"/>
      <c r="JI98" s="25"/>
      <c r="JJ98" s="25"/>
      <c r="JK98" s="25"/>
      <c r="JL98" s="25"/>
      <c r="JM98" s="25"/>
      <c r="JN98" s="25"/>
      <c r="JO98" s="25"/>
      <c r="JP98" s="25"/>
      <c r="JQ98" s="25"/>
      <c r="JR98" s="25"/>
      <c r="JS98" s="25"/>
      <c r="JT98" s="25"/>
      <c r="JU98" s="25"/>
      <c r="JV98" s="25"/>
      <c r="JW98" s="25"/>
      <c r="JX98" s="25"/>
      <c r="JY98" s="25"/>
      <c r="JZ98" s="25"/>
      <c r="KA98" s="25"/>
      <c r="KB98" s="25"/>
      <c r="KC98" s="25"/>
      <c r="KD98" s="25"/>
      <c r="KE98" s="25"/>
      <c r="KF98" s="25"/>
      <c r="KG98" s="25"/>
      <c r="KH98" s="25"/>
      <c r="KI98" s="25"/>
      <c r="KJ98" s="25"/>
      <c r="KK98" s="25"/>
      <c r="KL98" s="25"/>
      <c r="KM98" s="25"/>
      <c r="KN98" s="25"/>
      <c r="KO98" s="25"/>
      <c r="KP98" s="25"/>
      <c r="KQ98" s="25"/>
      <c r="KR98" s="25"/>
      <c r="KS98" s="25"/>
      <c r="KT98" s="25"/>
      <c r="KU98" s="25"/>
      <c r="KV98" s="25"/>
      <c r="KW98" s="25"/>
      <c r="KX98" s="25"/>
      <c r="KY98" s="25"/>
      <c r="KZ98" s="25"/>
      <c r="LA98" s="25"/>
      <c r="LB98" s="25"/>
      <c r="LC98" s="25"/>
      <c r="LD98" s="25"/>
      <c r="LE98" s="25"/>
      <c r="LF98" s="25"/>
      <c r="LG98" s="25"/>
      <c r="LH98" s="25"/>
      <c r="LI98" s="25"/>
      <c r="LJ98" s="25"/>
      <c r="LK98" s="25"/>
      <c r="LL98" s="25"/>
      <c r="LM98" s="25"/>
      <c r="LN98" s="25"/>
      <c r="LO98" s="25"/>
      <c r="LP98" s="25"/>
      <c r="LQ98" s="25"/>
      <c r="LR98" s="25"/>
      <c r="LS98" s="25"/>
      <c r="LT98" s="25"/>
      <c r="LU98" s="25"/>
      <c r="LV98" s="25"/>
      <c r="LW98" s="25"/>
      <c r="LX98" s="25"/>
      <c r="LY98" s="25"/>
      <c r="LZ98" s="25"/>
      <c r="MA98" s="25"/>
      <c r="MB98" s="25"/>
      <c r="MC98" s="25"/>
      <c r="MD98" s="25"/>
      <c r="ME98" s="25"/>
      <c r="MF98" s="25"/>
      <c r="MG98" s="25"/>
      <c r="MH98" s="25"/>
      <c r="MI98" s="25"/>
      <c r="MJ98" s="25"/>
      <c r="MK98" s="25"/>
      <c r="ML98" s="25"/>
      <c r="MM98" s="25"/>
      <c r="MN98" s="25"/>
      <c r="MO98" s="25"/>
      <c r="MP98" s="25"/>
      <c r="MQ98" s="25"/>
      <c r="MR98" s="25"/>
      <c r="MS98" s="25"/>
      <c r="MT98" s="25"/>
      <c r="MU98" s="25"/>
      <c r="MV98" s="25"/>
      <c r="MW98" s="25"/>
      <c r="MX98" s="25"/>
      <c r="MY98" s="25"/>
      <c r="MZ98" s="25"/>
      <c r="NA98" s="25"/>
      <c r="NB98" s="25"/>
      <c r="NC98" s="25"/>
      <c r="ND98" s="25"/>
      <c r="NE98" s="25"/>
      <c r="NF98" s="25"/>
      <c r="NG98" s="25"/>
      <c r="NH98" s="25"/>
      <c r="NI98" s="25"/>
      <c r="NJ98" s="25"/>
      <c r="NK98" s="25"/>
      <c r="NL98" s="25"/>
      <c r="NM98" s="25"/>
      <c r="NN98" s="25"/>
      <c r="NO98" s="25"/>
      <c r="NP98" s="25"/>
      <c r="NQ98" s="25"/>
      <c r="NR98" s="25"/>
      <c r="NS98" s="25"/>
      <c r="NT98" s="25"/>
      <c r="NU98" s="25"/>
      <c r="NV98" s="25"/>
      <c r="NW98" s="25"/>
      <c r="NX98" s="25"/>
      <c r="NY98" s="25"/>
      <c r="NZ98" s="25"/>
      <c r="OA98" s="25"/>
      <c r="OB98" s="25"/>
      <c r="OC98" s="25"/>
      <c r="OD98" s="25"/>
      <c r="OE98" s="25"/>
      <c r="OF98" s="25"/>
      <c r="OG98" s="25"/>
      <c r="OH98" s="25"/>
      <c r="OI98" s="25"/>
      <c r="OJ98" s="25"/>
      <c r="OK98" s="25"/>
      <c r="OL98" s="25"/>
      <c r="OM98" s="25"/>
      <c r="ON98" s="25"/>
      <c r="OO98" s="25"/>
      <c r="OP98" s="25"/>
      <c r="OQ98" s="25"/>
      <c r="OR98" s="25"/>
      <c r="OS98" s="25"/>
      <c r="OT98" s="25"/>
      <c r="OU98" s="25"/>
      <c r="OV98" s="25"/>
      <c r="OW98" s="25"/>
      <c r="OX98" s="25"/>
      <c r="OY98" s="25"/>
      <c r="OZ98" s="25"/>
      <c r="PA98" s="25"/>
      <c r="PB98" s="25"/>
      <c r="PC98" s="25"/>
      <c r="PD98" s="25"/>
      <c r="PE98" s="25"/>
      <c r="PF98" s="25"/>
      <c r="PG98" s="25"/>
      <c r="PH98" s="25"/>
      <c r="PI98" s="25"/>
      <c r="PJ98" s="25"/>
      <c r="PK98" s="25"/>
      <c r="PL98" s="25"/>
      <c r="PM98" s="25"/>
      <c r="PN98" s="25"/>
      <c r="PO98" s="25"/>
      <c r="PP98" s="25"/>
      <c r="PQ98" s="25"/>
      <c r="PR98" s="25"/>
      <c r="PS98" s="25"/>
      <c r="PT98" s="25"/>
      <c r="PU98" s="25"/>
      <c r="PV98" s="25"/>
      <c r="PW98" s="25"/>
      <c r="PX98" s="25"/>
      <c r="PY98" s="25"/>
      <c r="PZ98" s="25"/>
      <c r="QA98" s="25"/>
      <c r="QB98" s="25"/>
      <c r="QC98" s="25"/>
      <c r="QD98" s="25"/>
      <c r="QE98" s="25"/>
      <c r="QF98" s="25"/>
      <c r="QG98" s="25"/>
      <c r="QH98" s="25"/>
      <c r="QI98" s="25"/>
      <c r="QJ98" s="25"/>
      <c r="QK98" s="25"/>
      <c r="QL98" s="25"/>
      <c r="QM98" s="25"/>
      <c r="QN98" s="25"/>
      <c r="QO98" s="25"/>
      <c r="QP98" s="25"/>
      <c r="QQ98" s="25"/>
      <c r="QR98" s="25"/>
      <c r="QS98" s="25"/>
      <c r="QT98" s="25"/>
      <c r="QU98" s="25"/>
      <c r="QV98" s="25"/>
      <c r="QW98" s="25"/>
      <c r="QX98" s="25"/>
      <c r="QY98" s="25"/>
      <c r="QZ98" s="25"/>
      <c r="RA98" s="25"/>
      <c r="RB98" s="25"/>
      <c r="RC98" s="25"/>
      <c r="RD98" s="25"/>
      <c r="RE98" s="25"/>
      <c r="RF98" s="25"/>
      <c r="RG98" s="25"/>
      <c r="RH98" s="25"/>
      <c r="RI98" s="25"/>
      <c r="RJ98" s="25"/>
      <c r="RK98" s="25"/>
      <c r="RL98" s="25"/>
      <c r="RM98" s="25"/>
      <c r="RN98" s="25"/>
      <c r="RO98" s="25"/>
      <c r="RP98" s="25"/>
      <c r="RQ98" s="25"/>
      <c r="RR98" s="25"/>
      <c r="RS98" s="25"/>
      <c r="RT98" s="25"/>
      <c r="RU98" s="25"/>
      <c r="RV98" s="25"/>
      <c r="RW98" s="25"/>
      <c r="RX98" s="25"/>
      <c r="RY98" s="25"/>
      <c r="RZ98" s="25"/>
      <c r="SA98" s="25"/>
      <c r="SB98" s="25"/>
      <c r="SC98" s="25"/>
      <c r="SD98" s="25"/>
      <c r="SE98" s="25"/>
      <c r="SF98" s="25"/>
      <c r="SG98" s="25"/>
      <c r="SH98" s="25"/>
      <c r="SI98" s="25"/>
      <c r="SJ98" s="25"/>
      <c r="SK98" s="25"/>
      <c r="SL98" s="25"/>
      <c r="SM98" s="25"/>
      <c r="SN98" s="25"/>
      <c r="SO98" s="25"/>
      <c r="SP98" s="25"/>
      <c r="SQ98" s="25"/>
      <c r="SR98" s="25"/>
      <c r="SS98" s="25"/>
      <c r="ST98" s="25"/>
      <c r="SU98" s="25"/>
      <c r="SV98" s="25"/>
      <c r="SW98" s="25"/>
      <c r="SX98" s="25"/>
      <c r="SY98" s="25"/>
      <c r="SZ98" s="25"/>
      <c r="TA98" s="25"/>
      <c r="TB98" s="25"/>
      <c r="TC98" s="25"/>
      <c r="TD98" s="25"/>
      <c r="TE98" s="25"/>
      <c r="TF98" s="25"/>
      <c r="TG98" s="25"/>
      <c r="TH98" s="25"/>
      <c r="TI98" s="25"/>
      <c r="TJ98" s="25"/>
      <c r="TK98" s="25"/>
      <c r="TL98" s="25"/>
      <c r="TM98" s="25"/>
      <c r="TN98" s="25"/>
      <c r="TO98" s="25"/>
      <c r="TP98" s="25"/>
      <c r="TQ98" s="25"/>
      <c r="TR98" s="25"/>
      <c r="TS98" s="25"/>
      <c r="TT98" s="25"/>
      <c r="TU98" s="25"/>
      <c r="TV98" s="25"/>
      <c r="TW98" s="25"/>
      <c r="TX98" s="25"/>
      <c r="TY98" s="25"/>
      <c r="TZ98" s="25"/>
      <c r="UA98" s="25"/>
      <c r="UB98" s="25"/>
      <c r="UC98" s="25"/>
      <c r="UD98" s="25"/>
      <c r="UE98" s="25"/>
      <c r="UF98" s="25"/>
      <c r="UG98" s="25"/>
      <c r="UH98" s="25"/>
      <c r="UI98" s="25"/>
      <c r="UJ98" s="25"/>
      <c r="UK98" s="25"/>
      <c r="UL98" s="25"/>
      <c r="UM98" s="25"/>
      <c r="UN98" s="25"/>
      <c r="UO98" s="25"/>
      <c r="UP98" s="25"/>
      <c r="UQ98" s="25"/>
      <c r="UR98" s="25"/>
      <c r="US98" s="25"/>
      <c r="UT98" s="25"/>
      <c r="UU98" s="25"/>
      <c r="UV98" s="25"/>
      <c r="UW98" s="25"/>
      <c r="UX98" s="25"/>
      <c r="UY98" s="25"/>
      <c r="UZ98" s="25"/>
      <c r="VA98" s="25"/>
      <c r="VB98" s="25"/>
      <c r="VC98" s="25"/>
      <c r="VD98" s="25"/>
      <c r="VE98" s="25"/>
      <c r="VF98" s="25"/>
      <c r="VG98" s="25"/>
      <c r="VH98" s="25"/>
      <c r="VI98" s="25"/>
      <c r="VJ98" s="25"/>
      <c r="VK98" s="25"/>
      <c r="VL98" s="25"/>
      <c r="VM98" s="25"/>
      <c r="VN98" s="25"/>
      <c r="VO98" s="25"/>
      <c r="VP98" s="25"/>
      <c r="VQ98" s="25"/>
      <c r="VR98" s="25"/>
      <c r="VS98" s="25"/>
      <c r="VT98" s="25"/>
      <c r="VU98" s="25"/>
      <c r="VV98" s="25"/>
      <c r="VW98" s="25"/>
      <c r="VX98" s="25"/>
      <c r="VY98" s="25"/>
      <c r="VZ98" s="25"/>
      <c r="WA98" s="25"/>
      <c r="WB98" s="25"/>
      <c r="WC98" s="25"/>
      <c r="WD98" s="25"/>
      <c r="WE98" s="25"/>
      <c r="WF98" s="25"/>
      <c r="WG98" s="25"/>
      <c r="WH98" s="25"/>
      <c r="WI98" s="25"/>
      <c r="WJ98" s="25"/>
      <c r="WK98" s="25"/>
      <c r="WL98" s="25"/>
      <c r="WM98" s="25"/>
      <c r="WN98" s="25"/>
      <c r="WO98" s="25"/>
      <c r="WP98" s="25"/>
      <c r="WQ98" s="25"/>
      <c r="WR98" s="25"/>
      <c r="WS98" s="25"/>
      <c r="WT98" s="25"/>
      <c r="WU98" s="25"/>
      <c r="WV98" s="25"/>
      <c r="WW98" s="25"/>
      <c r="WX98" s="25"/>
      <c r="WY98" s="25"/>
      <c r="WZ98" s="25"/>
      <c r="XA98" s="25"/>
    </row>
    <row r="99" spans="1:625" x14ac:dyDescent="0.3">
      <c r="A99" s="37" t="s">
        <v>200</v>
      </c>
      <c r="B99" s="32" t="s">
        <v>201</v>
      </c>
      <c r="C99" s="25" t="s">
        <v>182</v>
      </c>
      <c r="D99" s="59">
        <v>8</v>
      </c>
      <c r="E99" s="41">
        <v>500</v>
      </c>
      <c r="F99" s="42">
        <v>500</v>
      </c>
      <c r="G99" s="34">
        <f t="shared" si="9"/>
        <v>576.5</v>
      </c>
      <c r="H99" s="42"/>
      <c r="I99" s="44">
        <f>D99*G99</f>
        <v>4612</v>
      </c>
      <c r="J99" s="34"/>
      <c r="K99" s="34" t="s">
        <v>202</v>
      </c>
      <c r="L99" s="34"/>
      <c r="M99" s="34"/>
      <c r="N99" s="34"/>
      <c r="O99" s="34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5"/>
      <c r="ID99" s="25"/>
      <c r="IE99" s="25"/>
      <c r="IF99" s="25"/>
      <c r="IG99" s="25"/>
      <c r="IH99" s="25"/>
      <c r="II99" s="25"/>
      <c r="IJ99" s="25"/>
      <c r="IK99" s="25"/>
      <c r="IL99" s="25"/>
      <c r="IM99" s="25"/>
      <c r="IN99" s="25"/>
      <c r="IO99" s="25"/>
      <c r="IP99" s="25"/>
      <c r="IQ99" s="25"/>
      <c r="IR99" s="25"/>
      <c r="IS99" s="25"/>
      <c r="IT99" s="25"/>
      <c r="IU99" s="25"/>
      <c r="IV99" s="25"/>
      <c r="IW99" s="25"/>
      <c r="IX99" s="25"/>
      <c r="IY99" s="25"/>
      <c r="IZ99" s="25"/>
      <c r="JA99" s="25"/>
      <c r="JB99" s="25"/>
      <c r="JC99" s="25"/>
      <c r="JD99" s="25"/>
      <c r="JE99" s="25"/>
      <c r="JF99" s="25"/>
      <c r="JG99" s="25"/>
      <c r="JH99" s="25"/>
      <c r="JI99" s="25"/>
      <c r="JJ99" s="25"/>
      <c r="JK99" s="25"/>
      <c r="JL99" s="25"/>
      <c r="JM99" s="25"/>
      <c r="JN99" s="25"/>
      <c r="JO99" s="25"/>
      <c r="JP99" s="25"/>
      <c r="JQ99" s="25"/>
      <c r="JR99" s="25"/>
      <c r="JS99" s="25"/>
      <c r="JT99" s="25"/>
      <c r="JU99" s="25"/>
      <c r="JV99" s="25"/>
      <c r="JW99" s="25"/>
      <c r="JX99" s="25"/>
      <c r="JY99" s="25"/>
      <c r="JZ99" s="25"/>
      <c r="KA99" s="25"/>
      <c r="KB99" s="25"/>
      <c r="KC99" s="25"/>
      <c r="KD99" s="25"/>
      <c r="KE99" s="25"/>
      <c r="KF99" s="25"/>
      <c r="KG99" s="25"/>
      <c r="KH99" s="25"/>
      <c r="KI99" s="25"/>
      <c r="KJ99" s="25"/>
      <c r="KK99" s="25"/>
      <c r="KL99" s="25"/>
      <c r="KM99" s="25"/>
      <c r="KN99" s="25"/>
      <c r="KO99" s="25"/>
      <c r="KP99" s="25"/>
      <c r="KQ99" s="25"/>
      <c r="KR99" s="25"/>
      <c r="KS99" s="25"/>
      <c r="KT99" s="25"/>
      <c r="KU99" s="25"/>
      <c r="KV99" s="25"/>
      <c r="KW99" s="25"/>
      <c r="KX99" s="25"/>
      <c r="KY99" s="25"/>
      <c r="KZ99" s="25"/>
      <c r="LA99" s="25"/>
      <c r="LB99" s="25"/>
      <c r="LC99" s="25"/>
      <c r="LD99" s="25"/>
      <c r="LE99" s="25"/>
      <c r="LF99" s="25"/>
      <c r="LG99" s="25"/>
      <c r="LH99" s="25"/>
      <c r="LI99" s="25"/>
      <c r="LJ99" s="25"/>
      <c r="LK99" s="25"/>
      <c r="LL99" s="25"/>
      <c r="LM99" s="25"/>
      <c r="LN99" s="25"/>
      <c r="LO99" s="25"/>
      <c r="LP99" s="25"/>
      <c r="LQ99" s="25"/>
      <c r="LR99" s="25"/>
      <c r="LS99" s="25"/>
      <c r="LT99" s="25"/>
      <c r="LU99" s="25"/>
      <c r="LV99" s="25"/>
      <c r="LW99" s="25"/>
      <c r="LX99" s="25"/>
      <c r="LY99" s="25"/>
      <c r="LZ99" s="25"/>
      <c r="MA99" s="25"/>
      <c r="MB99" s="25"/>
      <c r="MC99" s="25"/>
      <c r="MD99" s="25"/>
      <c r="ME99" s="25"/>
      <c r="MF99" s="25"/>
      <c r="MG99" s="25"/>
      <c r="MH99" s="25"/>
      <c r="MI99" s="25"/>
      <c r="MJ99" s="25"/>
      <c r="MK99" s="25"/>
      <c r="ML99" s="25"/>
      <c r="MM99" s="25"/>
      <c r="MN99" s="25"/>
      <c r="MO99" s="25"/>
      <c r="MP99" s="25"/>
      <c r="MQ99" s="25"/>
      <c r="MR99" s="25"/>
      <c r="MS99" s="25"/>
      <c r="MT99" s="25"/>
      <c r="MU99" s="25"/>
      <c r="MV99" s="25"/>
      <c r="MW99" s="25"/>
      <c r="MX99" s="25"/>
      <c r="MY99" s="25"/>
      <c r="MZ99" s="25"/>
      <c r="NA99" s="25"/>
      <c r="NB99" s="25"/>
      <c r="NC99" s="25"/>
      <c r="ND99" s="25"/>
      <c r="NE99" s="25"/>
      <c r="NF99" s="25"/>
      <c r="NG99" s="25"/>
      <c r="NH99" s="25"/>
      <c r="NI99" s="25"/>
      <c r="NJ99" s="25"/>
      <c r="NK99" s="25"/>
      <c r="NL99" s="25"/>
      <c r="NM99" s="25"/>
      <c r="NN99" s="25"/>
      <c r="NO99" s="25"/>
      <c r="NP99" s="25"/>
      <c r="NQ99" s="25"/>
      <c r="NR99" s="25"/>
      <c r="NS99" s="25"/>
      <c r="NT99" s="25"/>
      <c r="NU99" s="25"/>
      <c r="NV99" s="25"/>
      <c r="NW99" s="25"/>
      <c r="NX99" s="25"/>
      <c r="NY99" s="25"/>
      <c r="NZ99" s="25"/>
      <c r="OA99" s="25"/>
      <c r="OB99" s="25"/>
      <c r="OC99" s="25"/>
      <c r="OD99" s="25"/>
      <c r="OE99" s="25"/>
      <c r="OF99" s="25"/>
      <c r="OG99" s="25"/>
      <c r="OH99" s="25"/>
      <c r="OI99" s="25"/>
      <c r="OJ99" s="25"/>
      <c r="OK99" s="25"/>
      <c r="OL99" s="25"/>
      <c r="OM99" s="25"/>
      <c r="ON99" s="25"/>
      <c r="OO99" s="25"/>
      <c r="OP99" s="25"/>
      <c r="OQ99" s="25"/>
      <c r="OR99" s="25"/>
      <c r="OS99" s="25"/>
      <c r="OT99" s="25"/>
      <c r="OU99" s="25"/>
      <c r="OV99" s="25"/>
      <c r="OW99" s="25"/>
      <c r="OX99" s="25"/>
      <c r="OY99" s="25"/>
      <c r="OZ99" s="25"/>
      <c r="PA99" s="25"/>
      <c r="PB99" s="25"/>
      <c r="PC99" s="25"/>
      <c r="PD99" s="25"/>
      <c r="PE99" s="25"/>
      <c r="PF99" s="25"/>
      <c r="PG99" s="25"/>
      <c r="PH99" s="25"/>
      <c r="PI99" s="25"/>
      <c r="PJ99" s="25"/>
      <c r="PK99" s="25"/>
      <c r="PL99" s="25"/>
      <c r="PM99" s="25"/>
      <c r="PN99" s="25"/>
      <c r="PO99" s="25"/>
      <c r="PP99" s="25"/>
      <c r="PQ99" s="25"/>
      <c r="PR99" s="25"/>
      <c r="PS99" s="25"/>
      <c r="PT99" s="25"/>
      <c r="PU99" s="25"/>
      <c r="PV99" s="25"/>
      <c r="PW99" s="25"/>
      <c r="PX99" s="25"/>
      <c r="PY99" s="25"/>
      <c r="PZ99" s="25"/>
      <c r="QA99" s="25"/>
      <c r="QB99" s="25"/>
      <c r="QC99" s="25"/>
      <c r="QD99" s="25"/>
      <c r="QE99" s="25"/>
      <c r="QF99" s="25"/>
      <c r="QG99" s="25"/>
      <c r="QH99" s="25"/>
      <c r="QI99" s="25"/>
      <c r="QJ99" s="25"/>
      <c r="QK99" s="25"/>
      <c r="QL99" s="25"/>
      <c r="QM99" s="25"/>
      <c r="QN99" s="25"/>
      <c r="QO99" s="25"/>
      <c r="QP99" s="25"/>
      <c r="QQ99" s="25"/>
      <c r="QR99" s="25"/>
      <c r="QS99" s="25"/>
      <c r="QT99" s="25"/>
      <c r="QU99" s="25"/>
      <c r="QV99" s="25"/>
      <c r="QW99" s="25"/>
      <c r="QX99" s="25"/>
      <c r="QY99" s="25"/>
      <c r="QZ99" s="25"/>
      <c r="RA99" s="25"/>
      <c r="RB99" s="25"/>
      <c r="RC99" s="25"/>
      <c r="RD99" s="25"/>
      <c r="RE99" s="25"/>
      <c r="RF99" s="25"/>
      <c r="RG99" s="25"/>
      <c r="RH99" s="25"/>
      <c r="RI99" s="25"/>
      <c r="RJ99" s="25"/>
      <c r="RK99" s="25"/>
      <c r="RL99" s="25"/>
      <c r="RM99" s="25"/>
      <c r="RN99" s="25"/>
      <c r="RO99" s="25"/>
      <c r="RP99" s="25"/>
      <c r="RQ99" s="25"/>
      <c r="RR99" s="25"/>
      <c r="RS99" s="25"/>
      <c r="RT99" s="25"/>
      <c r="RU99" s="25"/>
      <c r="RV99" s="25"/>
      <c r="RW99" s="25"/>
      <c r="RX99" s="25"/>
      <c r="RY99" s="25"/>
      <c r="RZ99" s="25"/>
      <c r="SA99" s="25"/>
      <c r="SB99" s="25"/>
      <c r="SC99" s="25"/>
      <c r="SD99" s="25"/>
      <c r="SE99" s="25"/>
      <c r="SF99" s="25"/>
      <c r="SG99" s="25"/>
      <c r="SH99" s="25"/>
      <c r="SI99" s="25"/>
      <c r="SJ99" s="25"/>
      <c r="SK99" s="25"/>
      <c r="SL99" s="25"/>
      <c r="SM99" s="25"/>
      <c r="SN99" s="25"/>
      <c r="SO99" s="25"/>
      <c r="SP99" s="25"/>
      <c r="SQ99" s="25"/>
      <c r="SR99" s="25"/>
      <c r="SS99" s="25"/>
      <c r="ST99" s="25"/>
      <c r="SU99" s="25"/>
      <c r="SV99" s="25"/>
      <c r="SW99" s="25"/>
      <c r="SX99" s="25"/>
      <c r="SY99" s="25"/>
      <c r="SZ99" s="25"/>
      <c r="TA99" s="25"/>
      <c r="TB99" s="25"/>
      <c r="TC99" s="25"/>
      <c r="TD99" s="25"/>
      <c r="TE99" s="25"/>
      <c r="TF99" s="25"/>
      <c r="TG99" s="25"/>
      <c r="TH99" s="25"/>
      <c r="TI99" s="25"/>
      <c r="TJ99" s="25"/>
      <c r="TK99" s="25"/>
      <c r="TL99" s="25"/>
      <c r="TM99" s="25"/>
      <c r="TN99" s="25"/>
      <c r="TO99" s="25"/>
      <c r="TP99" s="25"/>
      <c r="TQ99" s="25"/>
      <c r="TR99" s="25"/>
      <c r="TS99" s="25"/>
      <c r="TT99" s="25"/>
      <c r="TU99" s="25"/>
      <c r="TV99" s="25"/>
      <c r="TW99" s="25"/>
      <c r="TX99" s="25"/>
      <c r="TY99" s="25"/>
      <c r="TZ99" s="25"/>
      <c r="UA99" s="25"/>
      <c r="UB99" s="25"/>
      <c r="UC99" s="25"/>
      <c r="UD99" s="25"/>
      <c r="UE99" s="25"/>
      <c r="UF99" s="25"/>
      <c r="UG99" s="25"/>
      <c r="UH99" s="25"/>
      <c r="UI99" s="25"/>
      <c r="UJ99" s="25"/>
      <c r="UK99" s="25"/>
      <c r="UL99" s="25"/>
      <c r="UM99" s="25"/>
      <c r="UN99" s="25"/>
      <c r="UO99" s="25"/>
      <c r="UP99" s="25"/>
      <c r="UQ99" s="25"/>
      <c r="UR99" s="25"/>
      <c r="US99" s="25"/>
      <c r="UT99" s="25"/>
      <c r="UU99" s="25"/>
      <c r="UV99" s="25"/>
      <c r="UW99" s="25"/>
      <c r="UX99" s="25"/>
      <c r="UY99" s="25"/>
      <c r="UZ99" s="25"/>
      <c r="VA99" s="25"/>
      <c r="VB99" s="25"/>
      <c r="VC99" s="25"/>
      <c r="VD99" s="25"/>
      <c r="VE99" s="25"/>
      <c r="VF99" s="25"/>
      <c r="VG99" s="25"/>
      <c r="VH99" s="25"/>
      <c r="VI99" s="25"/>
      <c r="VJ99" s="25"/>
      <c r="VK99" s="25"/>
      <c r="VL99" s="25"/>
      <c r="VM99" s="25"/>
      <c r="VN99" s="25"/>
      <c r="VO99" s="25"/>
      <c r="VP99" s="25"/>
      <c r="VQ99" s="25"/>
      <c r="VR99" s="25"/>
      <c r="VS99" s="25"/>
      <c r="VT99" s="25"/>
      <c r="VU99" s="25"/>
      <c r="VV99" s="25"/>
      <c r="VW99" s="25"/>
      <c r="VX99" s="25"/>
      <c r="VY99" s="25"/>
      <c r="VZ99" s="25"/>
      <c r="WA99" s="25"/>
      <c r="WB99" s="25"/>
      <c r="WC99" s="25"/>
      <c r="WD99" s="25"/>
      <c r="WE99" s="25"/>
      <c r="WF99" s="25"/>
      <c r="WG99" s="25"/>
      <c r="WH99" s="25"/>
      <c r="WI99" s="25"/>
      <c r="WJ99" s="25"/>
      <c r="WK99" s="25"/>
      <c r="WL99" s="25"/>
      <c r="WM99" s="25"/>
      <c r="WN99" s="25"/>
      <c r="WO99" s="25"/>
      <c r="WP99" s="25"/>
      <c r="WQ99" s="25"/>
      <c r="WR99" s="25"/>
      <c r="WS99" s="25"/>
      <c r="WT99" s="25"/>
      <c r="WU99" s="25"/>
      <c r="WV99" s="25"/>
      <c r="WW99" s="25"/>
      <c r="WX99" s="25"/>
      <c r="WY99" s="25"/>
      <c r="WZ99" s="25"/>
      <c r="XA99" s="25"/>
    </row>
    <row r="100" spans="1:625" x14ac:dyDescent="0.3">
      <c r="A100" s="37" t="s">
        <v>203</v>
      </c>
      <c r="B100" s="32" t="s">
        <v>204</v>
      </c>
      <c r="C100" s="25"/>
      <c r="D100" s="43">
        <v>250</v>
      </c>
      <c r="E100" s="41"/>
      <c r="F100" s="42"/>
      <c r="G100" s="34">
        <v>3.6</v>
      </c>
      <c r="H100" s="42"/>
      <c r="I100" s="44">
        <f>G100*D100</f>
        <v>900</v>
      </c>
      <c r="J100" s="34"/>
      <c r="K100" s="34" t="s">
        <v>205</v>
      </c>
      <c r="L100" s="34"/>
      <c r="M100" s="34"/>
      <c r="N100" s="34"/>
      <c r="O100" s="34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  <c r="IO100" s="25"/>
      <c r="IP100" s="25"/>
      <c r="IQ100" s="25"/>
      <c r="IR100" s="25"/>
      <c r="IS100" s="25"/>
      <c r="IT100" s="25"/>
      <c r="IU100" s="25"/>
      <c r="IV100" s="25"/>
      <c r="IW100" s="25"/>
      <c r="IX100" s="25"/>
      <c r="IY100" s="25"/>
      <c r="IZ100" s="25"/>
      <c r="JA100" s="25"/>
      <c r="JB100" s="25"/>
      <c r="JC100" s="25"/>
      <c r="JD100" s="25"/>
      <c r="JE100" s="25"/>
      <c r="JF100" s="25"/>
      <c r="JG100" s="25"/>
      <c r="JH100" s="25"/>
      <c r="JI100" s="25"/>
      <c r="JJ100" s="25"/>
      <c r="JK100" s="25"/>
      <c r="JL100" s="25"/>
      <c r="JM100" s="25"/>
      <c r="JN100" s="25"/>
      <c r="JO100" s="25"/>
      <c r="JP100" s="25"/>
      <c r="JQ100" s="25"/>
      <c r="JR100" s="25"/>
      <c r="JS100" s="25"/>
      <c r="JT100" s="25"/>
      <c r="JU100" s="25"/>
      <c r="JV100" s="25"/>
      <c r="JW100" s="25"/>
      <c r="JX100" s="25"/>
      <c r="JY100" s="25"/>
      <c r="JZ100" s="25"/>
      <c r="KA100" s="25"/>
      <c r="KB100" s="25"/>
      <c r="KC100" s="25"/>
      <c r="KD100" s="25"/>
      <c r="KE100" s="25"/>
      <c r="KF100" s="25"/>
      <c r="KG100" s="25"/>
      <c r="KH100" s="25"/>
      <c r="KI100" s="25"/>
      <c r="KJ100" s="25"/>
      <c r="KK100" s="25"/>
      <c r="KL100" s="25"/>
      <c r="KM100" s="25"/>
      <c r="KN100" s="25"/>
      <c r="KO100" s="25"/>
      <c r="KP100" s="25"/>
      <c r="KQ100" s="25"/>
      <c r="KR100" s="25"/>
      <c r="KS100" s="25"/>
      <c r="KT100" s="25"/>
      <c r="KU100" s="25"/>
      <c r="KV100" s="25"/>
      <c r="KW100" s="25"/>
      <c r="KX100" s="25"/>
      <c r="KY100" s="25"/>
      <c r="KZ100" s="25"/>
      <c r="LA100" s="25"/>
      <c r="LB100" s="25"/>
      <c r="LC100" s="25"/>
      <c r="LD100" s="25"/>
      <c r="LE100" s="25"/>
      <c r="LF100" s="25"/>
      <c r="LG100" s="25"/>
      <c r="LH100" s="25"/>
      <c r="LI100" s="25"/>
      <c r="LJ100" s="25"/>
      <c r="LK100" s="25"/>
      <c r="LL100" s="25"/>
      <c r="LM100" s="25"/>
      <c r="LN100" s="25"/>
      <c r="LO100" s="25"/>
      <c r="LP100" s="25"/>
      <c r="LQ100" s="25"/>
      <c r="LR100" s="25"/>
      <c r="LS100" s="25"/>
      <c r="LT100" s="25"/>
      <c r="LU100" s="25"/>
      <c r="LV100" s="25"/>
      <c r="LW100" s="25"/>
      <c r="LX100" s="25"/>
      <c r="LY100" s="25"/>
      <c r="LZ100" s="25"/>
      <c r="MA100" s="25"/>
      <c r="MB100" s="25"/>
      <c r="MC100" s="25"/>
      <c r="MD100" s="25"/>
      <c r="ME100" s="25"/>
      <c r="MF100" s="25"/>
      <c r="MG100" s="25"/>
      <c r="MH100" s="25"/>
      <c r="MI100" s="25"/>
      <c r="MJ100" s="25"/>
      <c r="MK100" s="25"/>
      <c r="ML100" s="25"/>
      <c r="MM100" s="25"/>
      <c r="MN100" s="25"/>
      <c r="MO100" s="25"/>
      <c r="MP100" s="25"/>
      <c r="MQ100" s="25"/>
      <c r="MR100" s="25"/>
      <c r="MS100" s="25"/>
      <c r="MT100" s="25"/>
      <c r="MU100" s="25"/>
      <c r="MV100" s="25"/>
      <c r="MW100" s="25"/>
      <c r="MX100" s="25"/>
      <c r="MY100" s="25"/>
      <c r="MZ100" s="25"/>
      <c r="NA100" s="25"/>
      <c r="NB100" s="25"/>
      <c r="NC100" s="25"/>
      <c r="ND100" s="25"/>
      <c r="NE100" s="25"/>
      <c r="NF100" s="25"/>
      <c r="NG100" s="25"/>
      <c r="NH100" s="25"/>
      <c r="NI100" s="25"/>
      <c r="NJ100" s="25"/>
      <c r="NK100" s="25"/>
      <c r="NL100" s="25"/>
      <c r="NM100" s="25"/>
      <c r="NN100" s="25"/>
      <c r="NO100" s="25"/>
      <c r="NP100" s="25"/>
      <c r="NQ100" s="25"/>
      <c r="NR100" s="25"/>
      <c r="NS100" s="25"/>
      <c r="NT100" s="25"/>
      <c r="NU100" s="25"/>
      <c r="NV100" s="25"/>
      <c r="NW100" s="25"/>
      <c r="NX100" s="25"/>
      <c r="NY100" s="25"/>
      <c r="NZ100" s="25"/>
      <c r="OA100" s="25"/>
      <c r="OB100" s="25"/>
      <c r="OC100" s="25"/>
      <c r="OD100" s="25"/>
      <c r="OE100" s="25"/>
      <c r="OF100" s="25"/>
      <c r="OG100" s="25"/>
      <c r="OH100" s="25"/>
      <c r="OI100" s="25"/>
      <c r="OJ100" s="25"/>
      <c r="OK100" s="25"/>
      <c r="OL100" s="25"/>
      <c r="OM100" s="25"/>
      <c r="ON100" s="25"/>
      <c r="OO100" s="25"/>
      <c r="OP100" s="25"/>
      <c r="OQ100" s="25"/>
      <c r="OR100" s="25"/>
      <c r="OS100" s="25"/>
      <c r="OT100" s="25"/>
      <c r="OU100" s="25"/>
      <c r="OV100" s="25"/>
      <c r="OW100" s="25"/>
      <c r="OX100" s="25"/>
      <c r="OY100" s="25"/>
      <c r="OZ100" s="25"/>
      <c r="PA100" s="25"/>
      <c r="PB100" s="25"/>
      <c r="PC100" s="25"/>
      <c r="PD100" s="25"/>
      <c r="PE100" s="25"/>
      <c r="PF100" s="25"/>
      <c r="PG100" s="25"/>
      <c r="PH100" s="25"/>
      <c r="PI100" s="25"/>
      <c r="PJ100" s="25"/>
      <c r="PK100" s="25"/>
      <c r="PL100" s="25"/>
      <c r="PM100" s="25"/>
      <c r="PN100" s="25"/>
      <c r="PO100" s="25"/>
      <c r="PP100" s="25"/>
      <c r="PQ100" s="25"/>
      <c r="PR100" s="25"/>
      <c r="PS100" s="25"/>
      <c r="PT100" s="25"/>
      <c r="PU100" s="25"/>
      <c r="PV100" s="25"/>
      <c r="PW100" s="25"/>
      <c r="PX100" s="25"/>
      <c r="PY100" s="25"/>
      <c r="PZ100" s="25"/>
      <c r="QA100" s="25"/>
      <c r="QB100" s="25"/>
      <c r="QC100" s="25"/>
      <c r="QD100" s="25"/>
      <c r="QE100" s="25"/>
      <c r="QF100" s="25"/>
      <c r="QG100" s="25"/>
      <c r="QH100" s="25"/>
      <c r="QI100" s="25"/>
      <c r="QJ100" s="25"/>
      <c r="QK100" s="25"/>
      <c r="QL100" s="25"/>
      <c r="QM100" s="25"/>
      <c r="QN100" s="25"/>
      <c r="QO100" s="25"/>
      <c r="QP100" s="25"/>
      <c r="QQ100" s="25"/>
      <c r="QR100" s="25"/>
      <c r="QS100" s="25"/>
      <c r="QT100" s="25"/>
      <c r="QU100" s="25"/>
      <c r="QV100" s="25"/>
      <c r="QW100" s="25"/>
      <c r="QX100" s="25"/>
      <c r="QY100" s="25"/>
      <c r="QZ100" s="25"/>
      <c r="RA100" s="25"/>
      <c r="RB100" s="25"/>
      <c r="RC100" s="25"/>
      <c r="RD100" s="25"/>
      <c r="RE100" s="25"/>
      <c r="RF100" s="25"/>
      <c r="RG100" s="25"/>
      <c r="RH100" s="25"/>
      <c r="RI100" s="25"/>
      <c r="RJ100" s="25"/>
      <c r="RK100" s="25"/>
      <c r="RL100" s="25"/>
      <c r="RM100" s="25"/>
      <c r="RN100" s="25"/>
      <c r="RO100" s="25"/>
      <c r="RP100" s="25"/>
      <c r="RQ100" s="25"/>
      <c r="RR100" s="25"/>
      <c r="RS100" s="25"/>
      <c r="RT100" s="25"/>
      <c r="RU100" s="25"/>
      <c r="RV100" s="25"/>
      <c r="RW100" s="25"/>
      <c r="RX100" s="25"/>
      <c r="RY100" s="25"/>
      <c r="RZ100" s="25"/>
      <c r="SA100" s="25"/>
      <c r="SB100" s="25"/>
      <c r="SC100" s="25"/>
      <c r="SD100" s="25"/>
      <c r="SE100" s="25"/>
      <c r="SF100" s="25"/>
      <c r="SG100" s="25"/>
      <c r="SH100" s="25"/>
      <c r="SI100" s="25"/>
      <c r="SJ100" s="25"/>
      <c r="SK100" s="25"/>
      <c r="SL100" s="25"/>
      <c r="SM100" s="25"/>
      <c r="SN100" s="25"/>
      <c r="SO100" s="25"/>
      <c r="SP100" s="25"/>
      <c r="SQ100" s="25"/>
      <c r="SR100" s="25"/>
      <c r="SS100" s="25"/>
      <c r="ST100" s="25"/>
      <c r="SU100" s="25"/>
      <c r="SV100" s="25"/>
      <c r="SW100" s="25"/>
      <c r="SX100" s="25"/>
      <c r="SY100" s="25"/>
      <c r="SZ100" s="25"/>
      <c r="TA100" s="25"/>
      <c r="TB100" s="25"/>
      <c r="TC100" s="25"/>
      <c r="TD100" s="25"/>
      <c r="TE100" s="25"/>
      <c r="TF100" s="25"/>
      <c r="TG100" s="25"/>
      <c r="TH100" s="25"/>
      <c r="TI100" s="25"/>
      <c r="TJ100" s="25"/>
      <c r="TK100" s="25"/>
      <c r="TL100" s="25"/>
      <c r="TM100" s="25"/>
      <c r="TN100" s="25"/>
      <c r="TO100" s="25"/>
      <c r="TP100" s="25"/>
      <c r="TQ100" s="25"/>
      <c r="TR100" s="25"/>
      <c r="TS100" s="25"/>
      <c r="TT100" s="25"/>
      <c r="TU100" s="25"/>
      <c r="TV100" s="25"/>
      <c r="TW100" s="25"/>
      <c r="TX100" s="25"/>
      <c r="TY100" s="25"/>
      <c r="TZ100" s="25"/>
      <c r="UA100" s="25"/>
      <c r="UB100" s="25"/>
      <c r="UC100" s="25"/>
      <c r="UD100" s="25"/>
      <c r="UE100" s="25"/>
      <c r="UF100" s="25"/>
      <c r="UG100" s="25"/>
      <c r="UH100" s="25"/>
      <c r="UI100" s="25"/>
      <c r="UJ100" s="25"/>
      <c r="UK100" s="25"/>
      <c r="UL100" s="25"/>
      <c r="UM100" s="25"/>
      <c r="UN100" s="25"/>
      <c r="UO100" s="25"/>
      <c r="UP100" s="25"/>
      <c r="UQ100" s="25"/>
      <c r="UR100" s="25"/>
      <c r="US100" s="25"/>
      <c r="UT100" s="25"/>
      <c r="UU100" s="25"/>
      <c r="UV100" s="25"/>
      <c r="UW100" s="25"/>
      <c r="UX100" s="25"/>
      <c r="UY100" s="25"/>
      <c r="UZ100" s="25"/>
      <c r="VA100" s="25"/>
      <c r="VB100" s="25"/>
      <c r="VC100" s="25"/>
      <c r="VD100" s="25"/>
      <c r="VE100" s="25"/>
      <c r="VF100" s="25"/>
      <c r="VG100" s="25"/>
      <c r="VH100" s="25"/>
      <c r="VI100" s="25"/>
      <c r="VJ100" s="25"/>
      <c r="VK100" s="25"/>
      <c r="VL100" s="25"/>
      <c r="VM100" s="25"/>
      <c r="VN100" s="25"/>
      <c r="VO100" s="25"/>
      <c r="VP100" s="25"/>
      <c r="VQ100" s="25"/>
      <c r="VR100" s="25"/>
      <c r="VS100" s="25"/>
      <c r="VT100" s="25"/>
      <c r="VU100" s="25"/>
      <c r="VV100" s="25"/>
      <c r="VW100" s="25"/>
      <c r="VX100" s="25"/>
      <c r="VY100" s="25"/>
      <c r="VZ100" s="25"/>
      <c r="WA100" s="25"/>
      <c r="WB100" s="25"/>
      <c r="WC100" s="25"/>
      <c r="WD100" s="25"/>
      <c r="WE100" s="25"/>
      <c r="WF100" s="25"/>
      <c r="WG100" s="25"/>
      <c r="WH100" s="25"/>
      <c r="WI100" s="25"/>
      <c r="WJ100" s="25"/>
      <c r="WK100" s="25"/>
      <c r="WL100" s="25"/>
      <c r="WM100" s="25"/>
      <c r="WN100" s="25"/>
      <c r="WO100" s="25"/>
      <c r="WP100" s="25"/>
      <c r="WQ100" s="25"/>
      <c r="WR100" s="25"/>
      <c r="WS100" s="25"/>
      <c r="WT100" s="25"/>
      <c r="WU100" s="25"/>
      <c r="WV100" s="25"/>
      <c r="WW100" s="25"/>
      <c r="WX100" s="25"/>
      <c r="WY100" s="25"/>
      <c r="WZ100" s="25"/>
      <c r="XA100" s="25"/>
    </row>
    <row r="101" spans="1:625" x14ac:dyDescent="0.3">
      <c r="A101" s="54" t="s">
        <v>206</v>
      </c>
      <c r="B101" s="22" t="s">
        <v>207</v>
      </c>
      <c r="C101" s="25"/>
      <c r="D101" s="59"/>
      <c r="E101" s="41"/>
      <c r="F101" s="42"/>
      <c r="G101" s="34"/>
      <c r="H101" s="42"/>
      <c r="I101" s="34"/>
      <c r="J101" s="45"/>
      <c r="K101" s="36"/>
      <c r="L101" s="34"/>
      <c r="M101" s="34"/>
      <c r="N101" s="34"/>
      <c r="O101" s="34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  <c r="IO101" s="25"/>
      <c r="IP101" s="25"/>
      <c r="IQ101" s="25"/>
      <c r="IR101" s="25"/>
      <c r="IS101" s="25"/>
      <c r="IT101" s="25"/>
      <c r="IU101" s="25"/>
      <c r="IV101" s="25"/>
      <c r="IW101" s="25"/>
      <c r="IX101" s="25"/>
      <c r="IY101" s="25"/>
      <c r="IZ101" s="25"/>
      <c r="JA101" s="25"/>
      <c r="JB101" s="25"/>
      <c r="JC101" s="25"/>
      <c r="JD101" s="25"/>
      <c r="JE101" s="25"/>
      <c r="JF101" s="25"/>
      <c r="JG101" s="25"/>
      <c r="JH101" s="25"/>
      <c r="JI101" s="25"/>
      <c r="JJ101" s="25"/>
      <c r="JK101" s="25"/>
      <c r="JL101" s="25"/>
      <c r="JM101" s="25"/>
      <c r="JN101" s="25"/>
      <c r="JO101" s="25"/>
      <c r="JP101" s="25"/>
      <c r="JQ101" s="25"/>
      <c r="JR101" s="25"/>
      <c r="JS101" s="25"/>
      <c r="JT101" s="25"/>
      <c r="JU101" s="25"/>
      <c r="JV101" s="25"/>
      <c r="JW101" s="25"/>
      <c r="JX101" s="25"/>
      <c r="JY101" s="25"/>
      <c r="JZ101" s="25"/>
      <c r="KA101" s="25"/>
      <c r="KB101" s="25"/>
      <c r="KC101" s="25"/>
      <c r="KD101" s="25"/>
      <c r="KE101" s="25"/>
      <c r="KF101" s="25"/>
      <c r="KG101" s="25"/>
      <c r="KH101" s="25"/>
      <c r="KI101" s="25"/>
      <c r="KJ101" s="25"/>
      <c r="KK101" s="25"/>
      <c r="KL101" s="25"/>
      <c r="KM101" s="25"/>
      <c r="KN101" s="25"/>
      <c r="KO101" s="25"/>
      <c r="KP101" s="25"/>
      <c r="KQ101" s="25"/>
      <c r="KR101" s="25"/>
      <c r="KS101" s="25"/>
      <c r="KT101" s="25"/>
      <c r="KU101" s="25"/>
      <c r="KV101" s="25"/>
      <c r="KW101" s="25"/>
      <c r="KX101" s="25"/>
      <c r="KY101" s="25"/>
      <c r="KZ101" s="25"/>
      <c r="LA101" s="25"/>
      <c r="LB101" s="25"/>
      <c r="LC101" s="25"/>
      <c r="LD101" s="25"/>
      <c r="LE101" s="25"/>
      <c r="LF101" s="25"/>
      <c r="LG101" s="25"/>
      <c r="LH101" s="25"/>
      <c r="LI101" s="25"/>
      <c r="LJ101" s="25"/>
      <c r="LK101" s="25"/>
      <c r="LL101" s="25"/>
      <c r="LM101" s="25"/>
      <c r="LN101" s="25"/>
      <c r="LO101" s="25"/>
      <c r="LP101" s="25"/>
      <c r="LQ101" s="25"/>
      <c r="LR101" s="25"/>
      <c r="LS101" s="25"/>
      <c r="LT101" s="25"/>
      <c r="LU101" s="25"/>
      <c r="LV101" s="25"/>
      <c r="LW101" s="25"/>
      <c r="LX101" s="25"/>
      <c r="LY101" s="25"/>
      <c r="LZ101" s="25"/>
      <c r="MA101" s="25"/>
      <c r="MB101" s="25"/>
      <c r="MC101" s="25"/>
      <c r="MD101" s="25"/>
      <c r="ME101" s="25"/>
      <c r="MF101" s="25"/>
      <c r="MG101" s="25"/>
      <c r="MH101" s="25"/>
      <c r="MI101" s="25"/>
      <c r="MJ101" s="25"/>
      <c r="MK101" s="25"/>
      <c r="ML101" s="25"/>
      <c r="MM101" s="25"/>
      <c r="MN101" s="25"/>
      <c r="MO101" s="25"/>
      <c r="MP101" s="25"/>
      <c r="MQ101" s="25"/>
      <c r="MR101" s="25"/>
      <c r="MS101" s="25"/>
      <c r="MT101" s="25"/>
      <c r="MU101" s="25"/>
      <c r="MV101" s="25"/>
      <c r="MW101" s="25"/>
      <c r="MX101" s="25"/>
      <c r="MY101" s="25"/>
      <c r="MZ101" s="25"/>
      <c r="NA101" s="25"/>
      <c r="NB101" s="25"/>
      <c r="NC101" s="25"/>
      <c r="ND101" s="25"/>
      <c r="NE101" s="25"/>
      <c r="NF101" s="25"/>
      <c r="NG101" s="25"/>
      <c r="NH101" s="25"/>
      <c r="NI101" s="25"/>
      <c r="NJ101" s="25"/>
      <c r="NK101" s="25"/>
      <c r="NL101" s="25"/>
      <c r="NM101" s="25"/>
      <c r="NN101" s="25"/>
      <c r="NO101" s="25"/>
      <c r="NP101" s="25"/>
      <c r="NQ101" s="25"/>
      <c r="NR101" s="25"/>
      <c r="NS101" s="25"/>
      <c r="NT101" s="25"/>
      <c r="NU101" s="25"/>
      <c r="NV101" s="25"/>
      <c r="NW101" s="25"/>
      <c r="NX101" s="25"/>
      <c r="NY101" s="25"/>
      <c r="NZ101" s="25"/>
      <c r="OA101" s="25"/>
      <c r="OB101" s="25"/>
      <c r="OC101" s="25"/>
      <c r="OD101" s="25"/>
      <c r="OE101" s="25"/>
      <c r="OF101" s="25"/>
      <c r="OG101" s="25"/>
      <c r="OH101" s="25"/>
      <c r="OI101" s="25"/>
      <c r="OJ101" s="25"/>
      <c r="OK101" s="25"/>
      <c r="OL101" s="25"/>
      <c r="OM101" s="25"/>
      <c r="ON101" s="25"/>
      <c r="OO101" s="25"/>
      <c r="OP101" s="25"/>
      <c r="OQ101" s="25"/>
      <c r="OR101" s="25"/>
      <c r="OS101" s="25"/>
      <c r="OT101" s="25"/>
      <c r="OU101" s="25"/>
      <c r="OV101" s="25"/>
      <c r="OW101" s="25"/>
      <c r="OX101" s="25"/>
      <c r="OY101" s="25"/>
      <c r="OZ101" s="25"/>
      <c r="PA101" s="25"/>
      <c r="PB101" s="25"/>
      <c r="PC101" s="25"/>
      <c r="PD101" s="25"/>
      <c r="PE101" s="25"/>
      <c r="PF101" s="25"/>
      <c r="PG101" s="25"/>
      <c r="PH101" s="25"/>
      <c r="PI101" s="25"/>
      <c r="PJ101" s="25"/>
      <c r="PK101" s="25"/>
      <c r="PL101" s="25"/>
      <c r="PM101" s="25"/>
      <c r="PN101" s="25"/>
      <c r="PO101" s="25"/>
      <c r="PP101" s="25"/>
      <c r="PQ101" s="25"/>
      <c r="PR101" s="25"/>
      <c r="PS101" s="25"/>
      <c r="PT101" s="25"/>
      <c r="PU101" s="25"/>
      <c r="PV101" s="25"/>
      <c r="PW101" s="25"/>
      <c r="PX101" s="25"/>
      <c r="PY101" s="25"/>
      <c r="PZ101" s="25"/>
      <c r="QA101" s="25"/>
      <c r="QB101" s="25"/>
      <c r="QC101" s="25"/>
      <c r="QD101" s="25"/>
      <c r="QE101" s="25"/>
      <c r="QF101" s="25"/>
      <c r="QG101" s="25"/>
      <c r="QH101" s="25"/>
      <c r="QI101" s="25"/>
      <c r="QJ101" s="25"/>
      <c r="QK101" s="25"/>
      <c r="QL101" s="25"/>
      <c r="QM101" s="25"/>
      <c r="QN101" s="25"/>
      <c r="QO101" s="25"/>
      <c r="QP101" s="25"/>
      <c r="QQ101" s="25"/>
      <c r="QR101" s="25"/>
      <c r="QS101" s="25"/>
      <c r="QT101" s="25"/>
      <c r="QU101" s="25"/>
      <c r="QV101" s="25"/>
      <c r="QW101" s="25"/>
      <c r="QX101" s="25"/>
      <c r="QY101" s="25"/>
      <c r="QZ101" s="25"/>
      <c r="RA101" s="25"/>
      <c r="RB101" s="25"/>
      <c r="RC101" s="25"/>
      <c r="RD101" s="25"/>
      <c r="RE101" s="25"/>
      <c r="RF101" s="25"/>
      <c r="RG101" s="25"/>
      <c r="RH101" s="25"/>
      <c r="RI101" s="25"/>
      <c r="RJ101" s="25"/>
      <c r="RK101" s="25"/>
      <c r="RL101" s="25"/>
      <c r="RM101" s="25"/>
      <c r="RN101" s="25"/>
      <c r="RO101" s="25"/>
      <c r="RP101" s="25"/>
      <c r="RQ101" s="25"/>
      <c r="RR101" s="25"/>
      <c r="RS101" s="25"/>
      <c r="RT101" s="25"/>
      <c r="RU101" s="25"/>
      <c r="RV101" s="25"/>
      <c r="RW101" s="25"/>
      <c r="RX101" s="25"/>
      <c r="RY101" s="25"/>
      <c r="RZ101" s="25"/>
      <c r="SA101" s="25"/>
      <c r="SB101" s="25"/>
      <c r="SC101" s="25"/>
      <c r="SD101" s="25"/>
      <c r="SE101" s="25"/>
      <c r="SF101" s="25"/>
      <c r="SG101" s="25"/>
      <c r="SH101" s="25"/>
      <c r="SI101" s="25"/>
      <c r="SJ101" s="25"/>
      <c r="SK101" s="25"/>
      <c r="SL101" s="25"/>
      <c r="SM101" s="25"/>
      <c r="SN101" s="25"/>
      <c r="SO101" s="25"/>
      <c r="SP101" s="25"/>
      <c r="SQ101" s="25"/>
      <c r="SR101" s="25"/>
      <c r="SS101" s="25"/>
      <c r="ST101" s="25"/>
      <c r="SU101" s="25"/>
      <c r="SV101" s="25"/>
      <c r="SW101" s="25"/>
      <c r="SX101" s="25"/>
      <c r="SY101" s="25"/>
      <c r="SZ101" s="25"/>
      <c r="TA101" s="25"/>
      <c r="TB101" s="25"/>
      <c r="TC101" s="25"/>
      <c r="TD101" s="25"/>
      <c r="TE101" s="25"/>
      <c r="TF101" s="25"/>
      <c r="TG101" s="25"/>
      <c r="TH101" s="25"/>
      <c r="TI101" s="25"/>
      <c r="TJ101" s="25"/>
      <c r="TK101" s="25"/>
      <c r="TL101" s="25"/>
      <c r="TM101" s="25"/>
      <c r="TN101" s="25"/>
      <c r="TO101" s="25"/>
      <c r="TP101" s="25"/>
      <c r="TQ101" s="25"/>
      <c r="TR101" s="25"/>
      <c r="TS101" s="25"/>
      <c r="TT101" s="25"/>
      <c r="TU101" s="25"/>
      <c r="TV101" s="25"/>
      <c r="TW101" s="25"/>
      <c r="TX101" s="25"/>
      <c r="TY101" s="25"/>
      <c r="TZ101" s="25"/>
      <c r="UA101" s="25"/>
      <c r="UB101" s="25"/>
      <c r="UC101" s="25"/>
      <c r="UD101" s="25"/>
      <c r="UE101" s="25"/>
      <c r="UF101" s="25"/>
      <c r="UG101" s="25"/>
      <c r="UH101" s="25"/>
      <c r="UI101" s="25"/>
      <c r="UJ101" s="25"/>
      <c r="UK101" s="25"/>
      <c r="UL101" s="25"/>
      <c r="UM101" s="25"/>
      <c r="UN101" s="25"/>
      <c r="UO101" s="25"/>
      <c r="UP101" s="25"/>
      <c r="UQ101" s="25"/>
      <c r="UR101" s="25"/>
      <c r="US101" s="25"/>
      <c r="UT101" s="25"/>
      <c r="UU101" s="25"/>
      <c r="UV101" s="25"/>
      <c r="UW101" s="25"/>
      <c r="UX101" s="25"/>
      <c r="UY101" s="25"/>
      <c r="UZ101" s="25"/>
      <c r="VA101" s="25"/>
      <c r="VB101" s="25"/>
      <c r="VC101" s="25"/>
      <c r="VD101" s="25"/>
      <c r="VE101" s="25"/>
      <c r="VF101" s="25"/>
      <c r="VG101" s="25"/>
      <c r="VH101" s="25"/>
      <c r="VI101" s="25"/>
      <c r="VJ101" s="25"/>
      <c r="VK101" s="25"/>
      <c r="VL101" s="25"/>
      <c r="VM101" s="25"/>
      <c r="VN101" s="25"/>
      <c r="VO101" s="25"/>
      <c r="VP101" s="25"/>
      <c r="VQ101" s="25"/>
      <c r="VR101" s="25"/>
      <c r="VS101" s="25"/>
      <c r="VT101" s="25"/>
      <c r="VU101" s="25"/>
      <c r="VV101" s="25"/>
      <c r="VW101" s="25"/>
      <c r="VX101" s="25"/>
      <c r="VY101" s="25"/>
      <c r="VZ101" s="25"/>
      <c r="WA101" s="25"/>
      <c r="WB101" s="25"/>
      <c r="WC101" s="25"/>
      <c r="WD101" s="25"/>
      <c r="WE101" s="25"/>
      <c r="WF101" s="25"/>
      <c r="WG101" s="25"/>
      <c r="WH101" s="25"/>
      <c r="WI101" s="25"/>
      <c r="WJ101" s="25"/>
      <c r="WK101" s="25"/>
      <c r="WL101" s="25"/>
      <c r="WM101" s="25"/>
      <c r="WN101" s="25"/>
      <c r="WO101" s="25"/>
      <c r="WP101" s="25"/>
      <c r="WQ101" s="25"/>
      <c r="WR101" s="25"/>
      <c r="WS101" s="25"/>
      <c r="WT101" s="25"/>
      <c r="WU101" s="25"/>
      <c r="WV101" s="25"/>
      <c r="WW101" s="25"/>
      <c r="WX101" s="25"/>
      <c r="WY101" s="25"/>
      <c r="WZ101" s="25"/>
      <c r="XA101" s="25"/>
    </row>
    <row r="102" spans="1:625" x14ac:dyDescent="0.3">
      <c r="A102" s="54" t="s">
        <v>208</v>
      </c>
      <c r="B102" s="22" t="s">
        <v>192</v>
      </c>
      <c r="C102" s="25" t="s">
        <v>133</v>
      </c>
      <c r="D102" s="56">
        <f>SUM(D70,D65,D56)*0.2</f>
        <v>0.7867900000000001</v>
      </c>
      <c r="E102" s="41"/>
      <c r="F102" s="42">
        <v>2000</v>
      </c>
      <c r="G102" s="34">
        <f>F102*1.153</f>
        <v>2306</v>
      </c>
      <c r="H102" s="42"/>
      <c r="I102" s="34"/>
      <c r="J102" s="45">
        <f t="shared" ref="J102:J109" si="10">G102*D102</f>
        <v>1814.3377400000002</v>
      </c>
      <c r="K102" s="34" t="s">
        <v>193</v>
      </c>
      <c r="L102" s="34"/>
      <c r="M102" s="34"/>
      <c r="N102" s="34"/>
      <c r="O102" s="34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  <c r="IS102" s="25"/>
      <c r="IT102" s="25"/>
      <c r="IU102" s="25"/>
      <c r="IV102" s="25"/>
      <c r="IW102" s="25"/>
      <c r="IX102" s="25"/>
      <c r="IY102" s="25"/>
      <c r="IZ102" s="25"/>
      <c r="JA102" s="25"/>
      <c r="JB102" s="25"/>
      <c r="JC102" s="25"/>
      <c r="JD102" s="25"/>
      <c r="JE102" s="25"/>
      <c r="JF102" s="25"/>
      <c r="JG102" s="25"/>
      <c r="JH102" s="25"/>
      <c r="JI102" s="25"/>
      <c r="JJ102" s="25"/>
      <c r="JK102" s="25"/>
      <c r="JL102" s="25"/>
      <c r="JM102" s="25"/>
      <c r="JN102" s="25"/>
      <c r="JO102" s="25"/>
      <c r="JP102" s="25"/>
      <c r="JQ102" s="25"/>
      <c r="JR102" s="25"/>
      <c r="JS102" s="25"/>
      <c r="JT102" s="25"/>
      <c r="JU102" s="25"/>
      <c r="JV102" s="25"/>
      <c r="JW102" s="25"/>
      <c r="JX102" s="25"/>
      <c r="JY102" s="25"/>
      <c r="JZ102" s="25"/>
      <c r="KA102" s="25"/>
      <c r="KB102" s="25"/>
      <c r="KC102" s="25"/>
      <c r="KD102" s="25"/>
      <c r="KE102" s="25"/>
      <c r="KF102" s="25"/>
      <c r="KG102" s="25"/>
      <c r="KH102" s="25"/>
      <c r="KI102" s="25"/>
      <c r="KJ102" s="25"/>
      <c r="KK102" s="25"/>
      <c r="KL102" s="25"/>
      <c r="KM102" s="25"/>
      <c r="KN102" s="25"/>
      <c r="KO102" s="25"/>
      <c r="KP102" s="25"/>
      <c r="KQ102" s="25"/>
      <c r="KR102" s="25"/>
      <c r="KS102" s="25"/>
      <c r="KT102" s="25"/>
      <c r="KU102" s="25"/>
      <c r="KV102" s="25"/>
      <c r="KW102" s="25"/>
      <c r="KX102" s="25"/>
      <c r="KY102" s="25"/>
      <c r="KZ102" s="25"/>
      <c r="LA102" s="25"/>
      <c r="LB102" s="25"/>
      <c r="LC102" s="25"/>
      <c r="LD102" s="25"/>
      <c r="LE102" s="25"/>
      <c r="LF102" s="25"/>
      <c r="LG102" s="25"/>
      <c r="LH102" s="25"/>
      <c r="LI102" s="25"/>
      <c r="LJ102" s="25"/>
      <c r="LK102" s="25"/>
      <c r="LL102" s="25"/>
      <c r="LM102" s="25"/>
      <c r="LN102" s="25"/>
      <c r="LO102" s="25"/>
      <c r="LP102" s="25"/>
      <c r="LQ102" s="25"/>
      <c r="LR102" s="25"/>
      <c r="LS102" s="25"/>
      <c r="LT102" s="25"/>
      <c r="LU102" s="25"/>
      <c r="LV102" s="25"/>
      <c r="LW102" s="25"/>
      <c r="LX102" s="25"/>
      <c r="LY102" s="25"/>
      <c r="LZ102" s="25"/>
      <c r="MA102" s="25"/>
      <c r="MB102" s="25"/>
      <c r="MC102" s="25"/>
      <c r="MD102" s="25"/>
      <c r="ME102" s="25"/>
      <c r="MF102" s="25"/>
      <c r="MG102" s="25"/>
      <c r="MH102" s="25"/>
      <c r="MI102" s="25"/>
      <c r="MJ102" s="25"/>
      <c r="MK102" s="25"/>
      <c r="ML102" s="25"/>
      <c r="MM102" s="25"/>
      <c r="MN102" s="25"/>
      <c r="MO102" s="25"/>
      <c r="MP102" s="25"/>
      <c r="MQ102" s="25"/>
      <c r="MR102" s="25"/>
      <c r="MS102" s="25"/>
      <c r="MT102" s="25"/>
      <c r="MU102" s="25"/>
      <c r="MV102" s="25"/>
      <c r="MW102" s="25"/>
      <c r="MX102" s="25"/>
      <c r="MY102" s="25"/>
      <c r="MZ102" s="25"/>
      <c r="NA102" s="25"/>
      <c r="NB102" s="25"/>
      <c r="NC102" s="25"/>
      <c r="ND102" s="25"/>
      <c r="NE102" s="25"/>
      <c r="NF102" s="25"/>
      <c r="NG102" s="25"/>
      <c r="NH102" s="25"/>
      <c r="NI102" s="25"/>
      <c r="NJ102" s="25"/>
      <c r="NK102" s="25"/>
      <c r="NL102" s="25"/>
      <c r="NM102" s="25"/>
      <c r="NN102" s="25"/>
      <c r="NO102" s="25"/>
      <c r="NP102" s="25"/>
      <c r="NQ102" s="25"/>
      <c r="NR102" s="25"/>
      <c r="NS102" s="25"/>
      <c r="NT102" s="25"/>
      <c r="NU102" s="25"/>
      <c r="NV102" s="25"/>
      <c r="NW102" s="25"/>
      <c r="NX102" s="25"/>
      <c r="NY102" s="25"/>
      <c r="NZ102" s="25"/>
      <c r="OA102" s="25"/>
      <c r="OB102" s="25"/>
      <c r="OC102" s="25"/>
      <c r="OD102" s="25"/>
      <c r="OE102" s="25"/>
      <c r="OF102" s="25"/>
      <c r="OG102" s="25"/>
      <c r="OH102" s="25"/>
      <c r="OI102" s="25"/>
      <c r="OJ102" s="25"/>
      <c r="OK102" s="25"/>
      <c r="OL102" s="25"/>
      <c r="OM102" s="25"/>
      <c r="ON102" s="25"/>
      <c r="OO102" s="25"/>
      <c r="OP102" s="25"/>
      <c r="OQ102" s="25"/>
      <c r="OR102" s="25"/>
      <c r="OS102" s="25"/>
      <c r="OT102" s="25"/>
      <c r="OU102" s="25"/>
      <c r="OV102" s="25"/>
      <c r="OW102" s="25"/>
      <c r="OX102" s="25"/>
      <c r="OY102" s="25"/>
      <c r="OZ102" s="25"/>
      <c r="PA102" s="25"/>
      <c r="PB102" s="25"/>
      <c r="PC102" s="25"/>
      <c r="PD102" s="25"/>
      <c r="PE102" s="25"/>
      <c r="PF102" s="25"/>
      <c r="PG102" s="25"/>
      <c r="PH102" s="25"/>
      <c r="PI102" s="25"/>
      <c r="PJ102" s="25"/>
      <c r="PK102" s="25"/>
      <c r="PL102" s="25"/>
      <c r="PM102" s="25"/>
      <c r="PN102" s="25"/>
      <c r="PO102" s="25"/>
      <c r="PP102" s="25"/>
      <c r="PQ102" s="25"/>
      <c r="PR102" s="25"/>
      <c r="PS102" s="25"/>
      <c r="PT102" s="25"/>
      <c r="PU102" s="25"/>
      <c r="PV102" s="25"/>
      <c r="PW102" s="25"/>
      <c r="PX102" s="25"/>
      <c r="PY102" s="25"/>
      <c r="PZ102" s="25"/>
      <c r="QA102" s="25"/>
      <c r="QB102" s="25"/>
      <c r="QC102" s="25"/>
      <c r="QD102" s="25"/>
      <c r="QE102" s="25"/>
      <c r="QF102" s="25"/>
      <c r="QG102" s="25"/>
      <c r="QH102" s="25"/>
      <c r="QI102" s="25"/>
      <c r="QJ102" s="25"/>
      <c r="QK102" s="25"/>
      <c r="QL102" s="25"/>
      <c r="QM102" s="25"/>
      <c r="QN102" s="25"/>
      <c r="QO102" s="25"/>
      <c r="QP102" s="25"/>
      <c r="QQ102" s="25"/>
      <c r="QR102" s="25"/>
      <c r="QS102" s="25"/>
      <c r="QT102" s="25"/>
      <c r="QU102" s="25"/>
      <c r="QV102" s="25"/>
      <c r="QW102" s="25"/>
      <c r="QX102" s="25"/>
      <c r="QY102" s="25"/>
      <c r="QZ102" s="25"/>
      <c r="RA102" s="25"/>
      <c r="RB102" s="25"/>
      <c r="RC102" s="25"/>
      <c r="RD102" s="25"/>
      <c r="RE102" s="25"/>
      <c r="RF102" s="25"/>
      <c r="RG102" s="25"/>
      <c r="RH102" s="25"/>
      <c r="RI102" s="25"/>
      <c r="RJ102" s="25"/>
      <c r="RK102" s="25"/>
      <c r="RL102" s="25"/>
      <c r="RM102" s="25"/>
      <c r="RN102" s="25"/>
      <c r="RO102" s="25"/>
      <c r="RP102" s="25"/>
      <c r="RQ102" s="25"/>
      <c r="RR102" s="25"/>
      <c r="RS102" s="25"/>
      <c r="RT102" s="25"/>
      <c r="RU102" s="25"/>
      <c r="RV102" s="25"/>
      <c r="RW102" s="25"/>
      <c r="RX102" s="25"/>
      <c r="RY102" s="25"/>
      <c r="RZ102" s="25"/>
      <c r="SA102" s="25"/>
      <c r="SB102" s="25"/>
      <c r="SC102" s="25"/>
      <c r="SD102" s="25"/>
      <c r="SE102" s="25"/>
      <c r="SF102" s="25"/>
      <c r="SG102" s="25"/>
      <c r="SH102" s="25"/>
      <c r="SI102" s="25"/>
      <c r="SJ102" s="25"/>
      <c r="SK102" s="25"/>
      <c r="SL102" s="25"/>
      <c r="SM102" s="25"/>
      <c r="SN102" s="25"/>
      <c r="SO102" s="25"/>
      <c r="SP102" s="25"/>
      <c r="SQ102" s="25"/>
      <c r="SR102" s="25"/>
      <c r="SS102" s="25"/>
      <c r="ST102" s="25"/>
      <c r="SU102" s="25"/>
      <c r="SV102" s="25"/>
      <c r="SW102" s="25"/>
      <c r="SX102" s="25"/>
      <c r="SY102" s="25"/>
      <c r="SZ102" s="25"/>
      <c r="TA102" s="25"/>
      <c r="TB102" s="25"/>
      <c r="TC102" s="25"/>
      <c r="TD102" s="25"/>
      <c r="TE102" s="25"/>
      <c r="TF102" s="25"/>
      <c r="TG102" s="25"/>
      <c r="TH102" s="25"/>
      <c r="TI102" s="25"/>
      <c r="TJ102" s="25"/>
      <c r="TK102" s="25"/>
      <c r="TL102" s="25"/>
      <c r="TM102" s="25"/>
      <c r="TN102" s="25"/>
      <c r="TO102" s="25"/>
      <c r="TP102" s="25"/>
      <c r="TQ102" s="25"/>
      <c r="TR102" s="25"/>
      <c r="TS102" s="25"/>
      <c r="TT102" s="25"/>
      <c r="TU102" s="25"/>
      <c r="TV102" s="25"/>
      <c r="TW102" s="25"/>
      <c r="TX102" s="25"/>
      <c r="TY102" s="25"/>
      <c r="TZ102" s="25"/>
      <c r="UA102" s="25"/>
      <c r="UB102" s="25"/>
      <c r="UC102" s="25"/>
      <c r="UD102" s="25"/>
      <c r="UE102" s="25"/>
      <c r="UF102" s="25"/>
      <c r="UG102" s="25"/>
      <c r="UH102" s="25"/>
      <c r="UI102" s="25"/>
      <c r="UJ102" s="25"/>
      <c r="UK102" s="25"/>
      <c r="UL102" s="25"/>
      <c r="UM102" s="25"/>
      <c r="UN102" s="25"/>
      <c r="UO102" s="25"/>
      <c r="UP102" s="25"/>
      <c r="UQ102" s="25"/>
      <c r="UR102" s="25"/>
      <c r="US102" s="25"/>
      <c r="UT102" s="25"/>
      <c r="UU102" s="25"/>
      <c r="UV102" s="25"/>
      <c r="UW102" s="25"/>
      <c r="UX102" s="25"/>
      <c r="UY102" s="25"/>
      <c r="UZ102" s="25"/>
      <c r="VA102" s="25"/>
      <c r="VB102" s="25"/>
      <c r="VC102" s="25"/>
      <c r="VD102" s="25"/>
      <c r="VE102" s="25"/>
      <c r="VF102" s="25"/>
      <c r="VG102" s="25"/>
      <c r="VH102" s="25"/>
      <c r="VI102" s="25"/>
      <c r="VJ102" s="25"/>
      <c r="VK102" s="25"/>
      <c r="VL102" s="25"/>
      <c r="VM102" s="25"/>
      <c r="VN102" s="25"/>
      <c r="VO102" s="25"/>
      <c r="VP102" s="25"/>
      <c r="VQ102" s="25"/>
      <c r="VR102" s="25"/>
      <c r="VS102" s="25"/>
      <c r="VT102" s="25"/>
      <c r="VU102" s="25"/>
      <c r="VV102" s="25"/>
      <c r="VW102" s="25"/>
      <c r="VX102" s="25"/>
      <c r="VY102" s="25"/>
      <c r="VZ102" s="25"/>
      <c r="WA102" s="25"/>
      <c r="WB102" s="25"/>
      <c r="WC102" s="25"/>
      <c r="WD102" s="25"/>
      <c r="WE102" s="25"/>
      <c r="WF102" s="25"/>
      <c r="WG102" s="25"/>
      <c r="WH102" s="25"/>
      <c r="WI102" s="25"/>
      <c r="WJ102" s="25"/>
      <c r="WK102" s="25"/>
      <c r="WL102" s="25"/>
      <c r="WM102" s="25"/>
      <c r="WN102" s="25"/>
      <c r="WO102" s="25"/>
      <c r="WP102" s="25"/>
      <c r="WQ102" s="25"/>
      <c r="WR102" s="25"/>
      <c r="WS102" s="25"/>
      <c r="WT102" s="25"/>
      <c r="WU102" s="25"/>
      <c r="WV102" s="25"/>
      <c r="WW102" s="25"/>
      <c r="WX102" s="25"/>
      <c r="WY102" s="25"/>
      <c r="WZ102" s="25"/>
      <c r="XA102" s="25"/>
    </row>
    <row r="103" spans="1:625" x14ac:dyDescent="0.3">
      <c r="A103" s="54" t="s">
        <v>209</v>
      </c>
      <c r="B103" s="22" t="s">
        <v>195</v>
      </c>
      <c r="C103" s="25"/>
      <c r="D103" s="43">
        <f>D102*10000*0.15</f>
        <v>1180.1850000000002</v>
      </c>
      <c r="E103" s="41"/>
      <c r="F103" s="42">
        <v>4</v>
      </c>
      <c r="G103" s="34">
        <f>F103*1.153</f>
        <v>4.6120000000000001</v>
      </c>
      <c r="H103" s="42"/>
      <c r="I103" s="34"/>
      <c r="J103" s="45">
        <f t="shared" si="10"/>
        <v>5443.0132200000007</v>
      </c>
      <c r="K103" s="34" t="s">
        <v>196</v>
      </c>
      <c r="L103" s="34"/>
      <c r="M103" s="34"/>
      <c r="N103" s="34"/>
      <c r="O103" s="34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  <c r="IQ103" s="25"/>
      <c r="IR103" s="25"/>
      <c r="IS103" s="25"/>
      <c r="IT103" s="25"/>
      <c r="IU103" s="25"/>
      <c r="IV103" s="25"/>
      <c r="IW103" s="25"/>
      <c r="IX103" s="25"/>
      <c r="IY103" s="25"/>
      <c r="IZ103" s="25"/>
      <c r="JA103" s="25"/>
      <c r="JB103" s="25"/>
      <c r="JC103" s="25"/>
      <c r="JD103" s="25"/>
      <c r="JE103" s="25"/>
      <c r="JF103" s="25"/>
      <c r="JG103" s="25"/>
      <c r="JH103" s="25"/>
      <c r="JI103" s="25"/>
      <c r="JJ103" s="25"/>
      <c r="JK103" s="25"/>
      <c r="JL103" s="25"/>
      <c r="JM103" s="25"/>
      <c r="JN103" s="25"/>
      <c r="JO103" s="25"/>
      <c r="JP103" s="25"/>
      <c r="JQ103" s="25"/>
      <c r="JR103" s="25"/>
      <c r="JS103" s="25"/>
      <c r="JT103" s="25"/>
      <c r="JU103" s="25"/>
      <c r="JV103" s="25"/>
      <c r="JW103" s="25"/>
      <c r="JX103" s="25"/>
      <c r="JY103" s="25"/>
      <c r="JZ103" s="25"/>
      <c r="KA103" s="25"/>
      <c r="KB103" s="25"/>
      <c r="KC103" s="25"/>
      <c r="KD103" s="25"/>
      <c r="KE103" s="25"/>
      <c r="KF103" s="25"/>
      <c r="KG103" s="25"/>
      <c r="KH103" s="25"/>
      <c r="KI103" s="25"/>
      <c r="KJ103" s="25"/>
      <c r="KK103" s="25"/>
      <c r="KL103" s="25"/>
      <c r="KM103" s="25"/>
      <c r="KN103" s="25"/>
      <c r="KO103" s="25"/>
      <c r="KP103" s="25"/>
      <c r="KQ103" s="25"/>
      <c r="KR103" s="25"/>
      <c r="KS103" s="25"/>
      <c r="KT103" s="25"/>
      <c r="KU103" s="25"/>
      <c r="KV103" s="25"/>
      <c r="KW103" s="25"/>
      <c r="KX103" s="25"/>
      <c r="KY103" s="25"/>
      <c r="KZ103" s="25"/>
      <c r="LA103" s="25"/>
      <c r="LB103" s="25"/>
      <c r="LC103" s="25"/>
      <c r="LD103" s="25"/>
      <c r="LE103" s="25"/>
      <c r="LF103" s="25"/>
      <c r="LG103" s="25"/>
      <c r="LH103" s="25"/>
      <c r="LI103" s="25"/>
      <c r="LJ103" s="25"/>
      <c r="LK103" s="25"/>
      <c r="LL103" s="25"/>
      <c r="LM103" s="25"/>
      <c r="LN103" s="25"/>
      <c r="LO103" s="25"/>
      <c r="LP103" s="25"/>
      <c r="LQ103" s="25"/>
      <c r="LR103" s="25"/>
      <c r="LS103" s="25"/>
      <c r="LT103" s="25"/>
      <c r="LU103" s="25"/>
      <c r="LV103" s="25"/>
      <c r="LW103" s="25"/>
      <c r="LX103" s="25"/>
      <c r="LY103" s="25"/>
      <c r="LZ103" s="25"/>
      <c r="MA103" s="25"/>
      <c r="MB103" s="25"/>
      <c r="MC103" s="25"/>
      <c r="MD103" s="25"/>
      <c r="ME103" s="25"/>
      <c r="MF103" s="25"/>
      <c r="MG103" s="25"/>
      <c r="MH103" s="25"/>
      <c r="MI103" s="25"/>
      <c r="MJ103" s="25"/>
      <c r="MK103" s="25"/>
      <c r="ML103" s="25"/>
      <c r="MM103" s="25"/>
      <c r="MN103" s="25"/>
      <c r="MO103" s="25"/>
      <c r="MP103" s="25"/>
      <c r="MQ103" s="25"/>
      <c r="MR103" s="25"/>
      <c r="MS103" s="25"/>
      <c r="MT103" s="25"/>
      <c r="MU103" s="25"/>
      <c r="MV103" s="25"/>
      <c r="MW103" s="25"/>
      <c r="MX103" s="25"/>
      <c r="MY103" s="25"/>
      <c r="MZ103" s="25"/>
      <c r="NA103" s="25"/>
      <c r="NB103" s="25"/>
      <c r="NC103" s="25"/>
      <c r="ND103" s="25"/>
      <c r="NE103" s="25"/>
      <c r="NF103" s="25"/>
      <c r="NG103" s="25"/>
      <c r="NH103" s="25"/>
      <c r="NI103" s="25"/>
      <c r="NJ103" s="25"/>
      <c r="NK103" s="25"/>
      <c r="NL103" s="25"/>
      <c r="NM103" s="25"/>
      <c r="NN103" s="25"/>
      <c r="NO103" s="25"/>
      <c r="NP103" s="25"/>
      <c r="NQ103" s="25"/>
      <c r="NR103" s="25"/>
      <c r="NS103" s="25"/>
      <c r="NT103" s="25"/>
      <c r="NU103" s="25"/>
      <c r="NV103" s="25"/>
      <c r="NW103" s="25"/>
      <c r="NX103" s="25"/>
      <c r="NY103" s="25"/>
      <c r="NZ103" s="25"/>
      <c r="OA103" s="25"/>
      <c r="OB103" s="25"/>
      <c r="OC103" s="25"/>
      <c r="OD103" s="25"/>
      <c r="OE103" s="25"/>
      <c r="OF103" s="25"/>
      <c r="OG103" s="25"/>
      <c r="OH103" s="25"/>
      <c r="OI103" s="25"/>
      <c r="OJ103" s="25"/>
      <c r="OK103" s="25"/>
      <c r="OL103" s="25"/>
      <c r="OM103" s="25"/>
      <c r="ON103" s="25"/>
      <c r="OO103" s="25"/>
      <c r="OP103" s="25"/>
      <c r="OQ103" s="25"/>
      <c r="OR103" s="25"/>
      <c r="OS103" s="25"/>
      <c r="OT103" s="25"/>
      <c r="OU103" s="25"/>
      <c r="OV103" s="25"/>
      <c r="OW103" s="25"/>
      <c r="OX103" s="25"/>
      <c r="OY103" s="25"/>
      <c r="OZ103" s="25"/>
      <c r="PA103" s="25"/>
      <c r="PB103" s="25"/>
      <c r="PC103" s="25"/>
      <c r="PD103" s="25"/>
      <c r="PE103" s="25"/>
      <c r="PF103" s="25"/>
      <c r="PG103" s="25"/>
      <c r="PH103" s="25"/>
      <c r="PI103" s="25"/>
      <c r="PJ103" s="25"/>
      <c r="PK103" s="25"/>
      <c r="PL103" s="25"/>
      <c r="PM103" s="25"/>
      <c r="PN103" s="25"/>
      <c r="PO103" s="25"/>
      <c r="PP103" s="25"/>
      <c r="PQ103" s="25"/>
      <c r="PR103" s="25"/>
      <c r="PS103" s="25"/>
      <c r="PT103" s="25"/>
      <c r="PU103" s="25"/>
      <c r="PV103" s="25"/>
      <c r="PW103" s="25"/>
      <c r="PX103" s="25"/>
      <c r="PY103" s="25"/>
      <c r="PZ103" s="25"/>
      <c r="QA103" s="25"/>
      <c r="QB103" s="25"/>
      <c r="QC103" s="25"/>
      <c r="QD103" s="25"/>
      <c r="QE103" s="25"/>
      <c r="QF103" s="25"/>
      <c r="QG103" s="25"/>
      <c r="QH103" s="25"/>
      <c r="QI103" s="25"/>
      <c r="QJ103" s="25"/>
      <c r="QK103" s="25"/>
      <c r="QL103" s="25"/>
      <c r="QM103" s="25"/>
      <c r="QN103" s="25"/>
      <c r="QO103" s="25"/>
      <c r="QP103" s="25"/>
      <c r="QQ103" s="25"/>
      <c r="QR103" s="25"/>
      <c r="QS103" s="25"/>
      <c r="QT103" s="25"/>
      <c r="QU103" s="25"/>
      <c r="QV103" s="25"/>
      <c r="QW103" s="25"/>
      <c r="QX103" s="25"/>
      <c r="QY103" s="25"/>
      <c r="QZ103" s="25"/>
      <c r="RA103" s="25"/>
      <c r="RB103" s="25"/>
      <c r="RC103" s="25"/>
      <c r="RD103" s="25"/>
      <c r="RE103" s="25"/>
      <c r="RF103" s="25"/>
      <c r="RG103" s="25"/>
      <c r="RH103" s="25"/>
      <c r="RI103" s="25"/>
      <c r="RJ103" s="25"/>
      <c r="RK103" s="25"/>
      <c r="RL103" s="25"/>
      <c r="RM103" s="25"/>
      <c r="RN103" s="25"/>
      <c r="RO103" s="25"/>
      <c r="RP103" s="25"/>
      <c r="RQ103" s="25"/>
      <c r="RR103" s="25"/>
      <c r="RS103" s="25"/>
      <c r="RT103" s="25"/>
      <c r="RU103" s="25"/>
      <c r="RV103" s="25"/>
      <c r="RW103" s="25"/>
      <c r="RX103" s="25"/>
      <c r="RY103" s="25"/>
      <c r="RZ103" s="25"/>
      <c r="SA103" s="25"/>
      <c r="SB103" s="25"/>
      <c r="SC103" s="25"/>
      <c r="SD103" s="25"/>
      <c r="SE103" s="25"/>
      <c r="SF103" s="25"/>
      <c r="SG103" s="25"/>
      <c r="SH103" s="25"/>
      <c r="SI103" s="25"/>
      <c r="SJ103" s="25"/>
      <c r="SK103" s="25"/>
      <c r="SL103" s="25"/>
      <c r="SM103" s="25"/>
      <c r="SN103" s="25"/>
      <c r="SO103" s="25"/>
      <c r="SP103" s="25"/>
      <c r="SQ103" s="25"/>
      <c r="SR103" s="25"/>
      <c r="SS103" s="25"/>
      <c r="ST103" s="25"/>
      <c r="SU103" s="25"/>
      <c r="SV103" s="25"/>
      <c r="SW103" s="25"/>
      <c r="SX103" s="25"/>
      <c r="SY103" s="25"/>
      <c r="SZ103" s="25"/>
      <c r="TA103" s="25"/>
      <c r="TB103" s="25"/>
      <c r="TC103" s="25"/>
      <c r="TD103" s="25"/>
      <c r="TE103" s="25"/>
      <c r="TF103" s="25"/>
      <c r="TG103" s="25"/>
      <c r="TH103" s="25"/>
      <c r="TI103" s="25"/>
      <c r="TJ103" s="25"/>
      <c r="TK103" s="25"/>
      <c r="TL103" s="25"/>
      <c r="TM103" s="25"/>
      <c r="TN103" s="25"/>
      <c r="TO103" s="25"/>
      <c r="TP103" s="25"/>
      <c r="TQ103" s="25"/>
      <c r="TR103" s="25"/>
      <c r="TS103" s="25"/>
      <c r="TT103" s="25"/>
      <c r="TU103" s="25"/>
      <c r="TV103" s="25"/>
      <c r="TW103" s="25"/>
      <c r="TX103" s="25"/>
      <c r="TY103" s="25"/>
      <c r="TZ103" s="25"/>
      <c r="UA103" s="25"/>
      <c r="UB103" s="25"/>
      <c r="UC103" s="25"/>
      <c r="UD103" s="25"/>
      <c r="UE103" s="25"/>
      <c r="UF103" s="25"/>
      <c r="UG103" s="25"/>
      <c r="UH103" s="25"/>
      <c r="UI103" s="25"/>
      <c r="UJ103" s="25"/>
      <c r="UK103" s="25"/>
      <c r="UL103" s="25"/>
      <c r="UM103" s="25"/>
      <c r="UN103" s="25"/>
      <c r="UO103" s="25"/>
      <c r="UP103" s="25"/>
      <c r="UQ103" s="25"/>
      <c r="UR103" s="25"/>
      <c r="US103" s="25"/>
      <c r="UT103" s="25"/>
      <c r="UU103" s="25"/>
      <c r="UV103" s="25"/>
      <c r="UW103" s="25"/>
      <c r="UX103" s="25"/>
      <c r="UY103" s="25"/>
      <c r="UZ103" s="25"/>
      <c r="VA103" s="25"/>
      <c r="VB103" s="25"/>
      <c r="VC103" s="25"/>
      <c r="VD103" s="25"/>
      <c r="VE103" s="25"/>
      <c r="VF103" s="25"/>
      <c r="VG103" s="25"/>
      <c r="VH103" s="25"/>
      <c r="VI103" s="25"/>
      <c r="VJ103" s="25"/>
      <c r="VK103" s="25"/>
      <c r="VL103" s="25"/>
      <c r="VM103" s="25"/>
      <c r="VN103" s="25"/>
      <c r="VO103" s="25"/>
      <c r="VP103" s="25"/>
      <c r="VQ103" s="25"/>
      <c r="VR103" s="25"/>
      <c r="VS103" s="25"/>
      <c r="VT103" s="25"/>
      <c r="VU103" s="25"/>
      <c r="VV103" s="25"/>
      <c r="VW103" s="25"/>
      <c r="VX103" s="25"/>
      <c r="VY103" s="25"/>
      <c r="VZ103" s="25"/>
      <c r="WA103" s="25"/>
      <c r="WB103" s="25"/>
      <c r="WC103" s="25"/>
      <c r="WD103" s="25"/>
      <c r="WE103" s="25"/>
      <c r="WF103" s="25"/>
      <c r="WG103" s="25"/>
      <c r="WH103" s="25"/>
      <c r="WI103" s="25"/>
      <c r="WJ103" s="25"/>
      <c r="WK103" s="25"/>
      <c r="WL103" s="25"/>
      <c r="WM103" s="25"/>
      <c r="WN103" s="25"/>
      <c r="WO103" s="25"/>
      <c r="WP103" s="25"/>
      <c r="WQ103" s="25"/>
      <c r="WR103" s="25"/>
      <c r="WS103" s="25"/>
      <c r="WT103" s="25"/>
      <c r="WU103" s="25"/>
      <c r="WV103" s="25"/>
      <c r="WW103" s="25"/>
      <c r="WX103" s="25"/>
      <c r="WY103" s="25"/>
      <c r="WZ103" s="25"/>
      <c r="XA103" s="25"/>
    </row>
    <row r="104" spans="1:625" x14ac:dyDescent="0.3">
      <c r="A104" s="54" t="s">
        <v>210</v>
      </c>
      <c r="B104" s="22" t="s">
        <v>211</v>
      </c>
      <c r="C104" s="25" t="s">
        <v>133</v>
      </c>
      <c r="D104" s="56">
        <f>D102/2</f>
        <v>0.39339500000000005</v>
      </c>
      <c r="E104" s="41"/>
      <c r="F104" s="42">
        <v>2000</v>
      </c>
      <c r="G104" s="34">
        <f t="shared" ref="G104:G105" si="11">F104*1.153</f>
        <v>2306</v>
      </c>
      <c r="H104" s="42"/>
      <c r="I104" s="34"/>
      <c r="J104" s="45">
        <f t="shared" si="10"/>
        <v>907.16887000000008</v>
      </c>
      <c r="K104" s="34" t="s">
        <v>199</v>
      </c>
      <c r="L104" s="34"/>
      <c r="M104" s="34"/>
      <c r="N104" s="34"/>
      <c r="O104" s="34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5"/>
      <c r="IS104" s="25"/>
      <c r="IT104" s="25"/>
      <c r="IU104" s="25"/>
      <c r="IV104" s="25"/>
      <c r="IW104" s="25"/>
      <c r="IX104" s="25"/>
      <c r="IY104" s="25"/>
      <c r="IZ104" s="25"/>
      <c r="JA104" s="25"/>
      <c r="JB104" s="25"/>
      <c r="JC104" s="25"/>
      <c r="JD104" s="25"/>
      <c r="JE104" s="25"/>
      <c r="JF104" s="25"/>
      <c r="JG104" s="25"/>
      <c r="JH104" s="25"/>
      <c r="JI104" s="25"/>
      <c r="JJ104" s="25"/>
      <c r="JK104" s="25"/>
      <c r="JL104" s="25"/>
      <c r="JM104" s="25"/>
      <c r="JN104" s="25"/>
      <c r="JO104" s="25"/>
      <c r="JP104" s="25"/>
      <c r="JQ104" s="25"/>
      <c r="JR104" s="25"/>
      <c r="JS104" s="25"/>
      <c r="JT104" s="25"/>
      <c r="JU104" s="25"/>
      <c r="JV104" s="25"/>
      <c r="JW104" s="25"/>
      <c r="JX104" s="25"/>
      <c r="JY104" s="25"/>
      <c r="JZ104" s="25"/>
      <c r="KA104" s="25"/>
      <c r="KB104" s="25"/>
      <c r="KC104" s="25"/>
      <c r="KD104" s="25"/>
      <c r="KE104" s="25"/>
      <c r="KF104" s="25"/>
      <c r="KG104" s="25"/>
      <c r="KH104" s="25"/>
      <c r="KI104" s="25"/>
      <c r="KJ104" s="25"/>
      <c r="KK104" s="25"/>
      <c r="KL104" s="25"/>
      <c r="KM104" s="25"/>
      <c r="KN104" s="25"/>
      <c r="KO104" s="25"/>
      <c r="KP104" s="25"/>
      <c r="KQ104" s="25"/>
      <c r="KR104" s="25"/>
      <c r="KS104" s="25"/>
      <c r="KT104" s="25"/>
      <c r="KU104" s="25"/>
      <c r="KV104" s="25"/>
      <c r="KW104" s="25"/>
      <c r="KX104" s="25"/>
      <c r="KY104" s="25"/>
      <c r="KZ104" s="25"/>
      <c r="LA104" s="25"/>
      <c r="LB104" s="25"/>
      <c r="LC104" s="25"/>
      <c r="LD104" s="25"/>
      <c r="LE104" s="25"/>
      <c r="LF104" s="25"/>
      <c r="LG104" s="25"/>
      <c r="LH104" s="25"/>
      <c r="LI104" s="25"/>
      <c r="LJ104" s="25"/>
      <c r="LK104" s="25"/>
      <c r="LL104" s="25"/>
      <c r="LM104" s="25"/>
      <c r="LN104" s="25"/>
      <c r="LO104" s="25"/>
      <c r="LP104" s="25"/>
      <c r="LQ104" s="25"/>
      <c r="LR104" s="25"/>
      <c r="LS104" s="25"/>
      <c r="LT104" s="25"/>
      <c r="LU104" s="25"/>
      <c r="LV104" s="25"/>
      <c r="LW104" s="25"/>
      <c r="LX104" s="25"/>
      <c r="LY104" s="25"/>
      <c r="LZ104" s="25"/>
      <c r="MA104" s="25"/>
      <c r="MB104" s="25"/>
      <c r="MC104" s="25"/>
      <c r="MD104" s="25"/>
      <c r="ME104" s="25"/>
      <c r="MF104" s="25"/>
      <c r="MG104" s="25"/>
      <c r="MH104" s="25"/>
      <c r="MI104" s="25"/>
      <c r="MJ104" s="25"/>
      <c r="MK104" s="25"/>
      <c r="ML104" s="25"/>
      <c r="MM104" s="25"/>
      <c r="MN104" s="25"/>
      <c r="MO104" s="25"/>
      <c r="MP104" s="25"/>
      <c r="MQ104" s="25"/>
      <c r="MR104" s="25"/>
      <c r="MS104" s="25"/>
      <c r="MT104" s="25"/>
      <c r="MU104" s="25"/>
      <c r="MV104" s="25"/>
      <c r="MW104" s="25"/>
      <c r="MX104" s="25"/>
      <c r="MY104" s="25"/>
      <c r="MZ104" s="25"/>
      <c r="NA104" s="25"/>
      <c r="NB104" s="25"/>
      <c r="NC104" s="25"/>
      <c r="ND104" s="25"/>
      <c r="NE104" s="25"/>
      <c r="NF104" s="25"/>
      <c r="NG104" s="25"/>
      <c r="NH104" s="25"/>
      <c r="NI104" s="25"/>
      <c r="NJ104" s="25"/>
      <c r="NK104" s="25"/>
      <c r="NL104" s="25"/>
      <c r="NM104" s="25"/>
      <c r="NN104" s="25"/>
      <c r="NO104" s="25"/>
      <c r="NP104" s="25"/>
      <c r="NQ104" s="25"/>
      <c r="NR104" s="25"/>
      <c r="NS104" s="25"/>
      <c r="NT104" s="25"/>
      <c r="NU104" s="25"/>
      <c r="NV104" s="25"/>
      <c r="NW104" s="25"/>
      <c r="NX104" s="25"/>
      <c r="NY104" s="25"/>
      <c r="NZ104" s="25"/>
      <c r="OA104" s="25"/>
      <c r="OB104" s="25"/>
      <c r="OC104" s="25"/>
      <c r="OD104" s="25"/>
      <c r="OE104" s="25"/>
      <c r="OF104" s="25"/>
      <c r="OG104" s="25"/>
      <c r="OH104" s="25"/>
      <c r="OI104" s="25"/>
      <c r="OJ104" s="25"/>
      <c r="OK104" s="25"/>
      <c r="OL104" s="25"/>
      <c r="OM104" s="25"/>
      <c r="ON104" s="25"/>
      <c r="OO104" s="25"/>
      <c r="OP104" s="25"/>
      <c r="OQ104" s="25"/>
      <c r="OR104" s="25"/>
      <c r="OS104" s="25"/>
      <c r="OT104" s="25"/>
      <c r="OU104" s="25"/>
      <c r="OV104" s="25"/>
      <c r="OW104" s="25"/>
      <c r="OX104" s="25"/>
      <c r="OY104" s="25"/>
      <c r="OZ104" s="25"/>
      <c r="PA104" s="25"/>
      <c r="PB104" s="25"/>
      <c r="PC104" s="25"/>
      <c r="PD104" s="25"/>
      <c r="PE104" s="25"/>
      <c r="PF104" s="25"/>
      <c r="PG104" s="25"/>
      <c r="PH104" s="25"/>
      <c r="PI104" s="25"/>
      <c r="PJ104" s="25"/>
      <c r="PK104" s="25"/>
      <c r="PL104" s="25"/>
      <c r="PM104" s="25"/>
      <c r="PN104" s="25"/>
      <c r="PO104" s="25"/>
      <c r="PP104" s="25"/>
      <c r="PQ104" s="25"/>
      <c r="PR104" s="25"/>
      <c r="PS104" s="25"/>
      <c r="PT104" s="25"/>
      <c r="PU104" s="25"/>
      <c r="PV104" s="25"/>
      <c r="PW104" s="25"/>
      <c r="PX104" s="25"/>
      <c r="PY104" s="25"/>
      <c r="PZ104" s="25"/>
      <c r="QA104" s="25"/>
      <c r="QB104" s="25"/>
      <c r="QC104" s="25"/>
      <c r="QD104" s="25"/>
      <c r="QE104" s="25"/>
      <c r="QF104" s="25"/>
      <c r="QG104" s="25"/>
      <c r="QH104" s="25"/>
      <c r="QI104" s="25"/>
      <c r="QJ104" s="25"/>
      <c r="QK104" s="25"/>
      <c r="QL104" s="25"/>
      <c r="QM104" s="25"/>
      <c r="QN104" s="25"/>
      <c r="QO104" s="25"/>
      <c r="QP104" s="25"/>
      <c r="QQ104" s="25"/>
      <c r="QR104" s="25"/>
      <c r="QS104" s="25"/>
      <c r="QT104" s="25"/>
      <c r="QU104" s="25"/>
      <c r="QV104" s="25"/>
      <c r="QW104" s="25"/>
      <c r="QX104" s="25"/>
      <c r="QY104" s="25"/>
      <c r="QZ104" s="25"/>
      <c r="RA104" s="25"/>
      <c r="RB104" s="25"/>
      <c r="RC104" s="25"/>
      <c r="RD104" s="25"/>
      <c r="RE104" s="25"/>
      <c r="RF104" s="25"/>
      <c r="RG104" s="25"/>
      <c r="RH104" s="25"/>
      <c r="RI104" s="25"/>
      <c r="RJ104" s="25"/>
      <c r="RK104" s="25"/>
      <c r="RL104" s="25"/>
      <c r="RM104" s="25"/>
      <c r="RN104" s="25"/>
      <c r="RO104" s="25"/>
      <c r="RP104" s="25"/>
      <c r="RQ104" s="25"/>
      <c r="RR104" s="25"/>
      <c r="RS104" s="25"/>
      <c r="RT104" s="25"/>
      <c r="RU104" s="25"/>
      <c r="RV104" s="25"/>
      <c r="RW104" s="25"/>
      <c r="RX104" s="25"/>
      <c r="RY104" s="25"/>
      <c r="RZ104" s="25"/>
      <c r="SA104" s="25"/>
      <c r="SB104" s="25"/>
      <c r="SC104" s="25"/>
      <c r="SD104" s="25"/>
      <c r="SE104" s="25"/>
      <c r="SF104" s="25"/>
      <c r="SG104" s="25"/>
      <c r="SH104" s="25"/>
      <c r="SI104" s="25"/>
      <c r="SJ104" s="25"/>
      <c r="SK104" s="25"/>
      <c r="SL104" s="25"/>
      <c r="SM104" s="25"/>
      <c r="SN104" s="25"/>
      <c r="SO104" s="25"/>
      <c r="SP104" s="25"/>
      <c r="SQ104" s="25"/>
      <c r="SR104" s="25"/>
      <c r="SS104" s="25"/>
      <c r="ST104" s="25"/>
      <c r="SU104" s="25"/>
      <c r="SV104" s="25"/>
      <c r="SW104" s="25"/>
      <c r="SX104" s="25"/>
      <c r="SY104" s="25"/>
      <c r="SZ104" s="25"/>
      <c r="TA104" s="25"/>
      <c r="TB104" s="25"/>
      <c r="TC104" s="25"/>
      <c r="TD104" s="25"/>
      <c r="TE104" s="25"/>
      <c r="TF104" s="25"/>
      <c r="TG104" s="25"/>
      <c r="TH104" s="25"/>
      <c r="TI104" s="25"/>
      <c r="TJ104" s="25"/>
      <c r="TK104" s="25"/>
      <c r="TL104" s="25"/>
      <c r="TM104" s="25"/>
      <c r="TN104" s="25"/>
      <c r="TO104" s="25"/>
      <c r="TP104" s="25"/>
      <c r="TQ104" s="25"/>
      <c r="TR104" s="25"/>
      <c r="TS104" s="25"/>
      <c r="TT104" s="25"/>
      <c r="TU104" s="25"/>
      <c r="TV104" s="25"/>
      <c r="TW104" s="25"/>
      <c r="TX104" s="25"/>
      <c r="TY104" s="25"/>
      <c r="TZ104" s="25"/>
      <c r="UA104" s="25"/>
      <c r="UB104" s="25"/>
      <c r="UC104" s="25"/>
      <c r="UD104" s="25"/>
      <c r="UE104" s="25"/>
      <c r="UF104" s="25"/>
      <c r="UG104" s="25"/>
      <c r="UH104" s="25"/>
      <c r="UI104" s="25"/>
      <c r="UJ104" s="25"/>
      <c r="UK104" s="25"/>
      <c r="UL104" s="25"/>
      <c r="UM104" s="25"/>
      <c r="UN104" s="25"/>
      <c r="UO104" s="25"/>
      <c r="UP104" s="25"/>
      <c r="UQ104" s="25"/>
      <c r="UR104" s="25"/>
      <c r="US104" s="25"/>
      <c r="UT104" s="25"/>
      <c r="UU104" s="25"/>
      <c r="UV104" s="25"/>
      <c r="UW104" s="25"/>
      <c r="UX104" s="25"/>
      <c r="UY104" s="25"/>
      <c r="UZ104" s="25"/>
      <c r="VA104" s="25"/>
      <c r="VB104" s="25"/>
      <c r="VC104" s="25"/>
      <c r="VD104" s="25"/>
      <c r="VE104" s="25"/>
      <c r="VF104" s="25"/>
      <c r="VG104" s="25"/>
      <c r="VH104" s="25"/>
      <c r="VI104" s="25"/>
      <c r="VJ104" s="25"/>
      <c r="VK104" s="25"/>
      <c r="VL104" s="25"/>
      <c r="VM104" s="25"/>
      <c r="VN104" s="25"/>
      <c r="VO104" s="25"/>
      <c r="VP104" s="25"/>
      <c r="VQ104" s="25"/>
      <c r="VR104" s="25"/>
      <c r="VS104" s="25"/>
      <c r="VT104" s="25"/>
      <c r="VU104" s="25"/>
      <c r="VV104" s="25"/>
      <c r="VW104" s="25"/>
      <c r="VX104" s="25"/>
      <c r="VY104" s="25"/>
      <c r="VZ104" s="25"/>
      <c r="WA104" s="25"/>
      <c r="WB104" s="25"/>
      <c r="WC104" s="25"/>
      <c r="WD104" s="25"/>
      <c r="WE104" s="25"/>
      <c r="WF104" s="25"/>
      <c r="WG104" s="25"/>
      <c r="WH104" s="25"/>
      <c r="WI104" s="25"/>
      <c r="WJ104" s="25"/>
      <c r="WK104" s="25"/>
      <c r="WL104" s="25"/>
      <c r="WM104" s="25"/>
      <c r="WN104" s="25"/>
      <c r="WO104" s="25"/>
      <c r="WP104" s="25"/>
      <c r="WQ104" s="25"/>
      <c r="WR104" s="25"/>
      <c r="WS104" s="25"/>
      <c r="WT104" s="25"/>
      <c r="WU104" s="25"/>
      <c r="WV104" s="25"/>
      <c r="WW104" s="25"/>
      <c r="WX104" s="25"/>
      <c r="WY104" s="25"/>
      <c r="WZ104" s="25"/>
      <c r="XA104" s="25"/>
    </row>
    <row r="105" spans="1:625" x14ac:dyDescent="0.3">
      <c r="A105" s="54" t="s">
        <v>212</v>
      </c>
      <c r="B105" s="22" t="s">
        <v>201</v>
      </c>
      <c r="C105" s="26" t="s">
        <v>182</v>
      </c>
      <c r="D105" s="43">
        <v>8</v>
      </c>
      <c r="E105" s="41">
        <v>500</v>
      </c>
      <c r="F105" s="42">
        <v>500</v>
      </c>
      <c r="G105" s="34">
        <f t="shared" si="11"/>
        <v>576.5</v>
      </c>
      <c r="H105" s="42"/>
      <c r="I105" s="34"/>
      <c r="J105" s="45">
        <f t="shared" si="10"/>
        <v>4612</v>
      </c>
      <c r="K105" s="34" t="s">
        <v>202</v>
      </c>
      <c r="L105" s="34"/>
      <c r="M105" s="34"/>
      <c r="N105" s="34"/>
      <c r="O105" s="34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5"/>
      <c r="IR105" s="25"/>
      <c r="IS105" s="25"/>
      <c r="IT105" s="25"/>
      <c r="IU105" s="25"/>
      <c r="IV105" s="25"/>
      <c r="IW105" s="25"/>
      <c r="IX105" s="25"/>
      <c r="IY105" s="25"/>
      <c r="IZ105" s="25"/>
      <c r="JA105" s="25"/>
      <c r="JB105" s="25"/>
      <c r="JC105" s="25"/>
      <c r="JD105" s="25"/>
      <c r="JE105" s="25"/>
      <c r="JF105" s="25"/>
      <c r="JG105" s="25"/>
      <c r="JH105" s="25"/>
      <c r="JI105" s="25"/>
      <c r="JJ105" s="25"/>
      <c r="JK105" s="25"/>
      <c r="JL105" s="25"/>
      <c r="JM105" s="25"/>
      <c r="JN105" s="25"/>
      <c r="JO105" s="25"/>
      <c r="JP105" s="25"/>
      <c r="JQ105" s="25"/>
      <c r="JR105" s="25"/>
      <c r="JS105" s="25"/>
      <c r="JT105" s="25"/>
      <c r="JU105" s="25"/>
      <c r="JV105" s="25"/>
      <c r="JW105" s="25"/>
      <c r="JX105" s="25"/>
      <c r="JY105" s="25"/>
      <c r="JZ105" s="25"/>
      <c r="KA105" s="25"/>
      <c r="KB105" s="25"/>
      <c r="KC105" s="25"/>
      <c r="KD105" s="25"/>
      <c r="KE105" s="25"/>
      <c r="KF105" s="25"/>
      <c r="KG105" s="25"/>
      <c r="KH105" s="25"/>
      <c r="KI105" s="25"/>
      <c r="KJ105" s="25"/>
      <c r="KK105" s="25"/>
      <c r="KL105" s="25"/>
      <c r="KM105" s="25"/>
      <c r="KN105" s="25"/>
      <c r="KO105" s="25"/>
      <c r="KP105" s="25"/>
      <c r="KQ105" s="25"/>
      <c r="KR105" s="25"/>
      <c r="KS105" s="25"/>
      <c r="KT105" s="25"/>
      <c r="KU105" s="25"/>
      <c r="KV105" s="25"/>
      <c r="KW105" s="25"/>
      <c r="KX105" s="25"/>
      <c r="KY105" s="25"/>
      <c r="KZ105" s="25"/>
      <c r="LA105" s="25"/>
      <c r="LB105" s="25"/>
      <c r="LC105" s="25"/>
      <c r="LD105" s="25"/>
      <c r="LE105" s="25"/>
      <c r="LF105" s="25"/>
      <c r="LG105" s="25"/>
      <c r="LH105" s="25"/>
      <c r="LI105" s="25"/>
      <c r="LJ105" s="25"/>
      <c r="LK105" s="25"/>
      <c r="LL105" s="25"/>
      <c r="LM105" s="25"/>
      <c r="LN105" s="25"/>
      <c r="LO105" s="25"/>
      <c r="LP105" s="25"/>
      <c r="LQ105" s="25"/>
      <c r="LR105" s="25"/>
      <c r="LS105" s="25"/>
      <c r="LT105" s="25"/>
      <c r="LU105" s="25"/>
      <c r="LV105" s="25"/>
      <c r="LW105" s="25"/>
      <c r="LX105" s="25"/>
      <c r="LY105" s="25"/>
      <c r="LZ105" s="25"/>
      <c r="MA105" s="25"/>
      <c r="MB105" s="25"/>
      <c r="MC105" s="25"/>
      <c r="MD105" s="25"/>
      <c r="ME105" s="25"/>
      <c r="MF105" s="25"/>
      <c r="MG105" s="25"/>
      <c r="MH105" s="25"/>
      <c r="MI105" s="25"/>
      <c r="MJ105" s="25"/>
      <c r="MK105" s="25"/>
      <c r="ML105" s="25"/>
      <c r="MM105" s="25"/>
      <c r="MN105" s="25"/>
      <c r="MO105" s="25"/>
      <c r="MP105" s="25"/>
      <c r="MQ105" s="25"/>
      <c r="MR105" s="25"/>
      <c r="MS105" s="25"/>
      <c r="MT105" s="25"/>
      <c r="MU105" s="25"/>
      <c r="MV105" s="25"/>
      <c r="MW105" s="25"/>
      <c r="MX105" s="25"/>
      <c r="MY105" s="25"/>
      <c r="MZ105" s="25"/>
      <c r="NA105" s="25"/>
      <c r="NB105" s="25"/>
      <c r="NC105" s="25"/>
      <c r="ND105" s="25"/>
      <c r="NE105" s="25"/>
      <c r="NF105" s="25"/>
      <c r="NG105" s="25"/>
      <c r="NH105" s="25"/>
      <c r="NI105" s="25"/>
      <c r="NJ105" s="25"/>
      <c r="NK105" s="25"/>
      <c r="NL105" s="25"/>
      <c r="NM105" s="25"/>
      <c r="NN105" s="25"/>
      <c r="NO105" s="25"/>
      <c r="NP105" s="25"/>
      <c r="NQ105" s="25"/>
      <c r="NR105" s="25"/>
      <c r="NS105" s="25"/>
      <c r="NT105" s="25"/>
      <c r="NU105" s="25"/>
      <c r="NV105" s="25"/>
      <c r="NW105" s="25"/>
      <c r="NX105" s="25"/>
      <c r="NY105" s="25"/>
      <c r="NZ105" s="25"/>
      <c r="OA105" s="25"/>
      <c r="OB105" s="25"/>
      <c r="OC105" s="25"/>
      <c r="OD105" s="25"/>
      <c r="OE105" s="25"/>
      <c r="OF105" s="25"/>
      <c r="OG105" s="25"/>
      <c r="OH105" s="25"/>
      <c r="OI105" s="25"/>
      <c r="OJ105" s="25"/>
      <c r="OK105" s="25"/>
      <c r="OL105" s="25"/>
      <c r="OM105" s="25"/>
      <c r="ON105" s="25"/>
      <c r="OO105" s="25"/>
      <c r="OP105" s="25"/>
      <c r="OQ105" s="25"/>
      <c r="OR105" s="25"/>
      <c r="OS105" s="25"/>
      <c r="OT105" s="25"/>
      <c r="OU105" s="25"/>
      <c r="OV105" s="25"/>
      <c r="OW105" s="25"/>
      <c r="OX105" s="25"/>
      <c r="OY105" s="25"/>
      <c r="OZ105" s="25"/>
      <c r="PA105" s="25"/>
      <c r="PB105" s="25"/>
      <c r="PC105" s="25"/>
      <c r="PD105" s="25"/>
      <c r="PE105" s="25"/>
      <c r="PF105" s="25"/>
      <c r="PG105" s="25"/>
      <c r="PH105" s="25"/>
      <c r="PI105" s="25"/>
      <c r="PJ105" s="25"/>
      <c r="PK105" s="25"/>
      <c r="PL105" s="25"/>
      <c r="PM105" s="25"/>
      <c r="PN105" s="25"/>
      <c r="PO105" s="25"/>
      <c r="PP105" s="25"/>
      <c r="PQ105" s="25"/>
      <c r="PR105" s="25"/>
      <c r="PS105" s="25"/>
      <c r="PT105" s="25"/>
      <c r="PU105" s="25"/>
      <c r="PV105" s="25"/>
      <c r="PW105" s="25"/>
      <c r="PX105" s="25"/>
      <c r="PY105" s="25"/>
      <c r="PZ105" s="25"/>
      <c r="QA105" s="25"/>
      <c r="QB105" s="25"/>
      <c r="QC105" s="25"/>
      <c r="QD105" s="25"/>
      <c r="QE105" s="25"/>
      <c r="QF105" s="25"/>
      <c r="QG105" s="25"/>
      <c r="QH105" s="25"/>
      <c r="QI105" s="25"/>
      <c r="QJ105" s="25"/>
      <c r="QK105" s="25"/>
      <c r="QL105" s="25"/>
      <c r="QM105" s="25"/>
      <c r="QN105" s="25"/>
      <c r="QO105" s="25"/>
      <c r="QP105" s="25"/>
      <c r="QQ105" s="25"/>
      <c r="QR105" s="25"/>
      <c r="QS105" s="25"/>
      <c r="QT105" s="25"/>
      <c r="QU105" s="25"/>
      <c r="QV105" s="25"/>
      <c r="QW105" s="25"/>
      <c r="QX105" s="25"/>
      <c r="QY105" s="25"/>
      <c r="QZ105" s="25"/>
      <c r="RA105" s="25"/>
      <c r="RB105" s="25"/>
      <c r="RC105" s="25"/>
      <c r="RD105" s="25"/>
      <c r="RE105" s="25"/>
      <c r="RF105" s="25"/>
      <c r="RG105" s="25"/>
      <c r="RH105" s="25"/>
      <c r="RI105" s="25"/>
      <c r="RJ105" s="25"/>
      <c r="RK105" s="25"/>
      <c r="RL105" s="25"/>
      <c r="RM105" s="25"/>
      <c r="RN105" s="25"/>
      <c r="RO105" s="25"/>
      <c r="RP105" s="25"/>
      <c r="RQ105" s="25"/>
      <c r="RR105" s="25"/>
      <c r="RS105" s="25"/>
      <c r="RT105" s="25"/>
      <c r="RU105" s="25"/>
      <c r="RV105" s="25"/>
      <c r="RW105" s="25"/>
      <c r="RX105" s="25"/>
      <c r="RY105" s="25"/>
      <c r="RZ105" s="25"/>
      <c r="SA105" s="25"/>
      <c r="SB105" s="25"/>
      <c r="SC105" s="25"/>
      <c r="SD105" s="25"/>
      <c r="SE105" s="25"/>
      <c r="SF105" s="25"/>
      <c r="SG105" s="25"/>
      <c r="SH105" s="25"/>
      <c r="SI105" s="25"/>
      <c r="SJ105" s="25"/>
      <c r="SK105" s="25"/>
      <c r="SL105" s="25"/>
      <c r="SM105" s="25"/>
      <c r="SN105" s="25"/>
      <c r="SO105" s="25"/>
      <c r="SP105" s="25"/>
      <c r="SQ105" s="25"/>
      <c r="SR105" s="25"/>
      <c r="SS105" s="25"/>
      <c r="ST105" s="25"/>
      <c r="SU105" s="25"/>
      <c r="SV105" s="25"/>
      <c r="SW105" s="25"/>
      <c r="SX105" s="25"/>
      <c r="SY105" s="25"/>
      <c r="SZ105" s="25"/>
      <c r="TA105" s="25"/>
      <c r="TB105" s="25"/>
      <c r="TC105" s="25"/>
      <c r="TD105" s="25"/>
      <c r="TE105" s="25"/>
      <c r="TF105" s="25"/>
      <c r="TG105" s="25"/>
      <c r="TH105" s="25"/>
      <c r="TI105" s="25"/>
      <c r="TJ105" s="25"/>
      <c r="TK105" s="25"/>
      <c r="TL105" s="25"/>
      <c r="TM105" s="25"/>
      <c r="TN105" s="25"/>
      <c r="TO105" s="25"/>
      <c r="TP105" s="25"/>
      <c r="TQ105" s="25"/>
      <c r="TR105" s="25"/>
      <c r="TS105" s="25"/>
      <c r="TT105" s="25"/>
      <c r="TU105" s="25"/>
      <c r="TV105" s="25"/>
      <c r="TW105" s="25"/>
      <c r="TX105" s="25"/>
      <c r="TY105" s="25"/>
      <c r="TZ105" s="25"/>
      <c r="UA105" s="25"/>
      <c r="UB105" s="25"/>
      <c r="UC105" s="25"/>
      <c r="UD105" s="25"/>
      <c r="UE105" s="25"/>
      <c r="UF105" s="25"/>
      <c r="UG105" s="25"/>
      <c r="UH105" s="25"/>
      <c r="UI105" s="25"/>
      <c r="UJ105" s="25"/>
      <c r="UK105" s="25"/>
      <c r="UL105" s="25"/>
      <c r="UM105" s="25"/>
      <c r="UN105" s="25"/>
      <c r="UO105" s="25"/>
      <c r="UP105" s="25"/>
      <c r="UQ105" s="25"/>
      <c r="UR105" s="25"/>
      <c r="US105" s="25"/>
      <c r="UT105" s="25"/>
      <c r="UU105" s="25"/>
      <c r="UV105" s="25"/>
      <c r="UW105" s="25"/>
      <c r="UX105" s="25"/>
      <c r="UY105" s="25"/>
      <c r="UZ105" s="25"/>
      <c r="VA105" s="25"/>
      <c r="VB105" s="25"/>
      <c r="VC105" s="25"/>
      <c r="VD105" s="25"/>
      <c r="VE105" s="25"/>
      <c r="VF105" s="25"/>
      <c r="VG105" s="25"/>
      <c r="VH105" s="25"/>
      <c r="VI105" s="25"/>
      <c r="VJ105" s="25"/>
      <c r="VK105" s="25"/>
      <c r="VL105" s="25"/>
      <c r="VM105" s="25"/>
      <c r="VN105" s="25"/>
      <c r="VO105" s="25"/>
      <c r="VP105" s="25"/>
      <c r="VQ105" s="25"/>
      <c r="VR105" s="25"/>
      <c r="VS105" s="25"/>
      <c r="VT105" s="25"/>
      <c r="VU105" s="25"/>
      <c r="VV105" s="25"/>
      <c r="VW105" s="25"/>
      <c r="VX105" s="25"/>
      <c r="VY105" s="25"/>
      <c r="VZ105" s="25"/>
      <c r="WA105" s="25"/>
      <c r="WB105" s="25"/>
      <c r="WC105" s="25"/>
      <c r="WD105" s="25"/>
      <c r="WE105" s="25"/>
      <c r="WF105" s="25"/>
      <c r="WG105" s="25"/>
      <c r="WH105" s="25"/>
      <c r="WI105" s="25"/>
      <c r="WJ105" s="25"/>
      <c r="WK105" s="25"/>
      <c r="WL105" s="25"/>
      <c r="WM105" s="25"/>
      <c r="WN105" s="25"/>
      <c r="WO105" s="25"/>
      <c r="WP105" s="25"/>
      <c r="WQ105" s="25"/>
      <c r="WR105" s="25"/>
      <c r="WS105" s="25"/>
      <c r="WT105" s="25"/>
      <c r="WU105" s="25"/>
      <c r="WV105" s="25"/>
      <c r="WW105" s="25"/>
      <c r="WX105" s="25"/>
      <c r="WY105" s="25"/>
      <c r="WZ105" s="25"/>
      <c r="XA105" s="25"/>
    </row>
    <row r="106" spans="1:625" x14ac:dyDescent="0.3">
      <c r="A106" s="54" t="s">
        <v>213</v>
      </c>
      <c r="B106" s="22" t="s">
        <v>204</v>
      </c>
      <c r="C106" s="26"/>
      <c r="D106" s="43">
        <v>750</v>
      </c>
      <c r="E106" s="41"/>
      <c r="F106" s="42"/>
      <c r="G106" s="34">
        <v>3.6</v>
      </c>
      <c r="H106" s="42"/>
      <c r="I106" s="34"/>
      <c r="J106" s="45">
        <f t="shared" si="10"/>
        <v>2700</v>
      </c>
      <c r="K106" s="36" t="s">
        <v>205</v>
      </c>
      <c r="L106" s="34"/>
      <c r="M106" s="34"/>
      <c r="N106" s="34"/>
      <c r="O106" s="34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  <c r="IQ106" s="25"/>
      <c r="IR106" s="25"/>
      <c r="IS106" s="25"/>
      <c r="IT106" s="25"/>
      <c r="IU106" s="25"/>
      <c r="IV106" s="25"/>
      <c r="IW106" s="25"/>
      <c r="IX106" s="25"/>
      <c r="IY106" s="25"/>
      <c r="IZ106" s="25"/>
      <c r="JA106" s="25"/>
      <c r="JB106" s="25"/>
      <c r="JC106" s="25"/>
      <c r="JD106" s="25"/>
      <c r="JE106" s="25"/>
      <c r="JF106" s="25"/>
      <c r="JG106" s="25"/>
      <c r="JH106" s="25"/>
      <c r="JI106" s="25"/>
      <c r="JJ106" s="25"/>
      <c r="JK106" s="25"/>
      <c r="JL106" s="25"/>
      <c r="JM106" s="25"/>
      <c r="JN106" s="25"/>
      <c r="JO106" s="25"/>
      <c r="JP106" s="25"/>
      <c r="JQ106" s="25"/>
      <c r="JR106" s="25"/>
      <c r="JS106" s="25"/>
      <c r="JT106" s="25"/>
      <c r="JU106" s="25"/>
      <c r="JV106" s="25"/>
      <c r="JW106" s="25"/>
      <c r="JX106" s="25"/>
      <c r="JY106" s="25"/>
      <c r="JZ106" s="25"/>
      <c r="KA106" s="25"/>
      <c r="KB106" s="25"/>
      <c r="KC106" s="25"/>
      <c r="KD106" s="25"/>
      <c r="KE106" s="25"/>
      <c r="KF106" s="25"/>
      <c r="KG106" s="25"/>
      <c r="KH106" s="25"/>
      <c r="KI106" s="25"/>
      <c r="KJ106" s="25"/>
      <c r="KK106" s="25"/>
      <c r="KL106" s="25"/>
      <c r="KM106" s="25"/>
      <c r="KN106" s="25"/>
      <c r="KO106" s="25"/>
      <c r="KP106" s="25"/>
      <c r="KQ106" s="25"/>
      <c r="KR106" s="25"/>
      <c r="KS106" s="25"/>
      <c r="KT106" s="25"/>
      <c r="KU106" s="25"/>
      <c r="KV106" s="25"/>
      <c r="KW106" s="25"/>
      <c r="KX106" s="25"/>
      <c r="KY106" s="25"/>
      <c r="KZ106" s="25"/>
      <c r="LA106" s="25"/>
      <c r="LB106" s="25"/>
      <c r="LC106" s="25"/>
      <c r="LD106" s="25"/>
      <c r="LE106" s="25"/>
      <c r="LF106" s="25"/>
      <c r="LG106" s="25"/>
      <c r="LH106" s="25"/>
      <c r="LI106" s="25"/>
      <c r="LJ106" s="25"/>
      <c r="LK106" s="25"/>
      <c r="LL106" s="25"/>
      <c r="LM106" s="25"/>
      <c r="LN106" s="25"/>
      <c r="LO106" s="25"/>
      <c r="LP106" s="25"/>
      <c r="LQ106" s="25"/>
      <c r="LR106" s="25"/>
      <c r="LS106" s="25"/>
      <c r="LT106" s="25"/>
      <c r="LU106" s="25"/>
      <c r="LV106" s="25"/>
      <c r="LW106" s="25"/>
      <c r="LX106" s="25"/>
      <c r="LY106" s="25"/>
      <c r="LZ106" s="25"/>
      <c r="MA106" s="25"/>
      <c r="MB106" s="25"/>
      <c r="MC106" s="25"/>
      <c r="MD106" s="25"/>
      <c r="ME106" s="25"/>
      <c r="MF106" s="25"/>
      <c r="MG106" s="25"/>
      <c r="MH106" s="25"/>
      <c r="MI106" s="25"/>
      <c r="MJ106" s="25"/>
      <c r="MK106" s="25"/>
      <c r="ML106" s="25"/>
      <c r="MM106" s="25"/>
      <c r="MN106" s="25"/>
      <c r="MO106" s="25"/>
      <c r="MP106" s="25"/>
      <c r="MQ106" s="25"/>
      <c r="MR106" s="25"/>
      <c r="MS106" s="25"/>
      <c r="MT106" s="25"/>
      <c r="MU106" s="25"/>
      <c r="MV106" s="25"/>
      <c r="MW106" s="25"/>
      <c r="MX106" s="25"/>
      <c r="MY106" s="25"/>
      <c r="MZ106" s="25"/>
      <c r="NA106" s="25"/>
      <c r="NB106" s="25"/>
      <c r="NC106" s="25"/>
      <c r="ND106" s="25"/>
      <c r="NE106" s="25"/>
      <c r="NF106" s="25"/>
      <c r="NG106" s="25"/>
      <c r="NH106" s="25"/>
      <c r="NI106" s="25"/>
      <c r="NJ106" s="25"/>
      <c r="NK106" s="25"/>
      <c r="NL106" s="25"/>
      <c r="NM106" s="25"/>
      <c r="NN106" s="25"/>
      <c r="NO106" s="25"/>
      <c r="NP106" s="25"/>
      <c r="NQ106" s="25"/>
      <c r="NR106" s="25"/>
      <c r="NS106" s="25"/>
      <c r="NT106" s="25"/>
      <c r="NU106" s="25"/>
      <c r="NV106" s="25"/>
      <c r="NW106" s="25"/>
      <c r="NX106" s="25"/>
      <c r="NY106" s="25"/>
      <c r="NZ106" s="25"/>
      <c r="OA106" s="25"/>
      <c r="OB106" s="25"/>
      <c r="OC106" s="25"/>
      <c r="OD106" s="25"/>
      <c r="OE106" s="25"/>
      <c r="OF106" s="25"/>
      <c r="OG106" s="25"/>
      <c r="OH106" s="25"/>
      <c r="OI106" s="25"/>
      <c r="OJ106" s="25"/>
      <c r="OK106" s="25"/>
      <c r="OL106" s="25"/>
      <c r="OM106" s="25"/>
      <c r="ON106" s="25"/>
      <c r="OO106" s="25"/>
      <c r="OP106" s="25"/>
      <c r="OQ106" s="25"/>
      <c r="OR106" s="25"/>
      <c r="OS106" s="25"/>
      <c r="OT106" s="25"/>
      <c r="OU106" s="25"/>
      <c r="OV106" s="25"/>
      <c r="OW106" s="25"/>
      <c r="OX106" s="25"/>
      <c r="OY106" s="25"/>
      <c r="OZ106" s="25"/>
      <c r="PA106" s="25"/>
      <c r="PB106" s="25"/>
      <c r="PC106" s="25"/>
      <c r="PD106" s="25"/>
      <c r="PE106" s="25"/>
      <c r="PF106" s="25"/>
      <c r="PG106" s="25"/>
      <c r="PH106" s="25"/>
      <c r="PI106" s="25"/>
      <c r="PJ106" s="25"/>
      <c r="PK106" s="25"/>
      <c r="PL106" s="25"/>
      <c r="PM106" s="25"/>
      <c r="PN106" s="25"/>
      <c r="PO106" s="25"/>
      <c r="PP106" s="25"/>
      <c r="PQ106" s="25"/>
      <c r="PR106" s="25"/>
      <c r="PS106" s="25"/>
      <c r="PT106" s="25"/>
      <c r="PU106" s="25"/>
      <c r="PV106" s="25"/>
      <c r="PW106" s="25"/>
      <c r="PX106" s="25"/>
      <c r="PY106" s="25"/>
      <c r="PZ106" s="25"/>
      <c r="QA106" s="25"/>
      <c r="QB106" s="25"/>
      <c r="QC106" s="25"/>
      <c r="QD106" s="25"/>
      <c r="QE106" s="25"/>
      <c r="QF106" s="25"/>
      <c r="QG106" s="25"/>
      <c r="QH106" s="25"/>
      <c r="QI106" s="25"/>
      <c r="QJ106" s="25"/>
      <c r="QK106" s="25"/>
      <c r="QL106" s="25"/>
      <c r="QM106" s="25"/>
      <c r="QN106" s="25"/>
      <c r="QO106" s="25"/>
      <c r="QP106" s="25"/>
      <c r="QQ106" s="25"/>
      <c r="QR106" s="25"/>
      <c r="QS106" s="25"/>
      <c r="QT106" s="25"/>
      <c r="QU106" s="25"/>
      <c r="QV106" s="25"/>
      <c r="QW106" s="25"/>
      <c r="QX106" s="25"/>
      <c r="QY106" s="25"/>
      <c r="QZ106" s="25"/>
      <c r="RA106" s="25"/>
      <c r="RB106" s="25"/>
      <c r="RC106" s="25"/>
      <c r="RD106" s="25"/>
      <c r="RE106" s="25"/>
      <c r="RF106" s="25"/>
      <c r="RG106" s="25"/>
      <c r="RH106" s="25"/>
      <c r="RI106" s="25"/>
      <c r="RJ106" s="25"/>
      <c r="RK106" s="25"/>
      <c r="RL106" s="25"/>
      <c r="RM106" s="25"/>
      <c r="RN106" s="25"/>
      <c r="RO106" s="25"/>
      <c r="RP106" s="25"/>
      <c r="RQ106" s="25"/>
      <c r="RR106" s="25"/>
      <c r="RS106" s="25"/>
      <c r="RT106" s="25"/>
      <c r="RU106" s="25"/>
      <c r="RV106" s="25"/>
      <c r="RW106" s="25"/>
      <c r="RX106" s="25"/>
      <c r="RY106" s="25"/>
      <c r="RZ106" s="25"/>
      <c r="SA106" s="25"/>
      <c r="SB106" s="25"/>
      <c r="SC106" s="25"/>
      <c r="SD106" s="25"/>
      <c r="SE106" s="25"/>
      <c r="SF106" s="25"/>
      <c r="SG106" s="25"/>
      <c r="SH106" s="25"/>
      <c r="SI106" s="25"/>
      <c r="SJ106" s="25"/>
      <c r="SK106" s="25"/>
      <c r="SL106" s="25"/>
      <c r="SM106" s="25"/>
      <c r="SN106" s="25"/>
      <c r="SO106" s="25"/>
      <c r="SP106" s="25"/>
      <c r="SQ106" s="25"/>
      <c r="SR106" s="25"/>
      <c r="SS106" s="25"/>
      <c r="ST106" s="25"/>
      <c r="SU106" s="25"/>
      <c r="SV106" s="25"/>
      <c r="SW106" s="25"/>
      <c r="SX106" s="25"/>
      <c r="SY106" s="25"/>
      <c r="SZ106" s="25"/>
      <c r="TA106" s="25"/>
      <c r="TB106" s="25"/>
      <c r="TC106" s="25"/>
      <c r="TD106" s="25"/>
      <c r="TE106" s="25"/>
      <c r="TF106" s="25"/>
      <c r="TG106" s="25"/>
      <c r="TH106" s="25"/>
      <c r="TI106" s="25"/>
      <c r="TJ106" s="25"/>
      <c r="TK106" s="25"/>
      <c r="TL106" s="25"/>
      <c r="TM106" s="25"/>
      <c r="TN106" s="25"/>
      <c r="TO106" s="25"/>
      <c r="TP106" s="25"/>
      <c r="TQ106" s="25"/>
      <c r="TR106" s="25"/>
      <c r="TS106" s="25"/>
      <c r="TT106" s="25"/>
      <c r="TU106" s="25"/>
      <c r="TV106" s="25"/>
      <c r="TW106" s="25"/>
      <c r="TX106" s="25"/>
      <c r="TY106" s="25"/>
      <c r="TZ106" s="25"/>
      <c r="UA106" s="25"/>
      <c r="UB106" s="25"/>
      <c r="UC106" s="25"/>
      <c r="UD106" s="25"/>
      <c r="UE106" s="25"/>
      <c r="UF106" s="25"/>
      <c r="UG106" s="25"/>
      <c r="UH106" s="25"/>
      <c r="UI106" s="25"/>
      <c r="UJ106" s="25"/>
      <c r="UK106" s="25"/>
      <c r="UL106" s="25"/>
      <c r="UM106" s="25"/>
      <c r="UN106" s="25"/>
      <c r="UO106" s="25"/>
      <c r="UP106" s="25"/>
      <c r="UQ106" s="25"/>
      <c r="UR106" s="25"/>
      <c r="US106" s="25"/>
      <c r="UT106" s="25"/>
      <c r="UU106" s="25"/>
      <c r="UV106" s="25"/>
      <c r="UW106" s="25"/>
      <c r="UX106" s="25"/>
      <c r="UY106" s="25"/>
      <c r="UZ106" s="25"/>
      <c r="VA106" s="25"/>
      <c r="VB106" s="25"/>
      <c r="VC106" s="25"/>
      <c r="VD106" s="25"/>
      <c r="VE106" s="25"/>
      <c r="VF106" s="25"/>
      <c r="VG106" s="25"/>
      <c r="VH106" s="25"/>
      <c r="VI106" s="25"/>
      <c r="VJ106" s="25"/>
      <c r="VK106" s="25"/>
      <c r="VL106" s="25"/>
      <c r="VM106" s="25"/>
      <c r="VN106" s="25"/>
      <c r="VO106" s="25"/>
      <c r="VP106" s="25"/>
      <c r="VQ106" s="25"/>
      <c r="VR106" s="25"/>
      <c r="VS106" s="25"/>
      <c r="VT106" s="25"/>
      <c r="VU106" s="25"/>
      <c r="VV106" s="25"/>
      <c r="VW106" s="25"/>
      <c r="VX106" s="25"/>
      <c r="VY106" s="25"/>
      <c r="VZ106" s="25"/>
      <c r="WA106" s="25"/>
      <c r="WB106" s="25"/>
      <c r="WC106" s="25"/>
      <c r="WD106" s="25"/>
      <c r="WE106" s="25"/>
      <c r="WF106" s="25"/>
      <c r="WG106" s="25"/>
      <c r="WH106" s="25"/>
      <c r="WI106" s="25"/>
      <c r="WJ106" s="25"/>
      <c r="WK106" s="25"/>
      <c r="WL106" s="25"/>
      <c r="WM106" s="25"/>
      <c r="WN106" s="25"/>
      <c r="WO106" s="25"/>
      <c r="WP106" s="25"/>
      <c r="WQ106" s="25"/>
      <c r="WR106" s="25"/>
      <c r="WS106" s="25"/>
      <c r="WT106" s="25"/>
      <c r="WU106" s="25"/>
      <c r="WV106" s="25"/>
      <c r="WW106" s="25"/>
      <c r="WX106" s="25"/>
      <c r="WY106" s="25"/>
      <c r="WZ106" s="25"/>
      <c r="XA106" s="25"/>
    </row>
    <row r="107" spans="1:625" x14ac:dyDescent="0.3">
      <c r="A107" s="54">
        <v>9.4</v>
      </c>
      <c r="B107" s="22" t="s">
        <v>215</v>
      </c>
      <c r="C107" s="26" t="s">
        <v>216</v>
      </c>
      <c r="D107" s="59">
        <v>1</v>
      </c>
      <c r="E107" s="34"/>
      <c r="F107" s="34"/>
      <c r="G107" s="48">
        <f>'GeotechRevised for 2017'!C15</f>
        <v>13399.3</v>
      </c>
      <c r="H107" s="34"/>
      <c r="I107" s="34"/>
      <c r="J107" s="48">
        <f t="shared" si="10"/>
        <v>13399.3</v>
      </c>
      <c r="K107" s="36" t="s">
        <v>217</v>
      </c>
      <c r="L107" s="34"/>
      <c r="M107" s="34"/>
      <c r="N107" s="34"/>
      <c r="O107" s="34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  <c r="IR107" s="25"/>
      <c r="IS107" s="25"/>
      <c r="IT107" s="25"/>
      <c r="IU107" s="25"/>
      <c r="IV107" s="25"/>
      <c r="IW107" s="25"/>
      <c r="IX107" s="25"/>
      <c r="IY107" s="25"/>
      <c r="IZ107" s="25"/>
      <c r="JA107" s="25"/>
      <c r="JB107" s="25"/>
      <c r="JC107" s="25"/>
      <c r="JD107" s="25"/>
      <c r="JE107" s="25"/>
      <c r="JF107" s="25"/>
      <c r="JG107" s="25"/>
      <c r="JH107" s="25"/>
      <c r="JI107" s="25"/>
      <c r="JJ107" s="25"/>
      <c r="JK107" s="25"/>
      <c r="JL107" s="25"/>
      <c r="JM107" s="25"/>
      <c r="JN107" s="25"/>
      <c r="JO107" s="25"/>
      <c r="JP107" s="25"/>
      <c r="JQ107" s="25"/>
      <c r="JR107" s="25"/>
      <c r="JS107" s="25"/>
      <c r="JT107" s="25"/>
      <c r="JU107" s="25"/>
      <c r="JV107" s="25"/>
      <c r="JW107" s="25"/>
      <c r="JX107" s="25"/>
      <c r="JY107" s="25"/>
      <c r="JZ107" s="25"/>
      <c r="KA107" s="25"/>
      <c r="KB107" s="25"/>
      <c r="KC107" s="25"/>
      <c r="KD107" s="25"/>
      <c r="KE107" s="25"/>
      <c r="KF107" s="25"/>
      <c r="KG107" s="25"/>
      <c r="KH107" s="25"/>
      <c r="KI107" s="25"/>
      <c r="KJ107" s="25"/>
      <c r="KK107" s="25"/>
      <c r="KL107" s="25"/>
      <c r="KM107" s="25"/>
      <c r="KN107" s="25"/>
      <c r="KO107" s="25"/>
      <c r="KP107" s="25"/>
      <c r="KQ107" s="25"/>
      <c r="KR107" s="25"/>
      <c r="KS107" s="25"/>
      <c r="KT107" s="25"/>
      <c r="KU107" s="25"/>
      <c r="KV107" s="25"/>
      <c r="KW107" s="25"/>
      <c r="KX107" s="25"/>
      <c r="KY107" s="25"/>
      <c r="KZ107" s="25"/>
      <c r="LA107" s="25"/>
      <c r="LB107" s="25"/>
      <c r="LC107" s="25"/>
      <c r="LD107" s="25"/>
      <c r="LE107" s="25"/>
      <c r="LF107" s="25"/>
      <c r="LG107" s="25"/>
      <c r="LH107" s="25"/>
      <c r="LI107" s="25"/>
      <c r="LJ107" s="25"/>
      <c r="LK107" s="25"/>
      <c r="LL107" s="25"/>
      <c r="LM107" s="25"/>
      <c r="LN107" s="25"/>
      <c r="LO107" s="25"/>
      <c r="LP107" s="25"/>
      <c r="LQ107" s="25"/>
      <c r="LR107" s="25"/>
      <c r="LS107" s="25"/>
      <c r="LT107" s="25"/>
      <c r="LU107" s="25"/>
      <c r="LV107" s="25"/>
      <c r="LW107" s="25"/>
      <c r="LX107" s="25"/>
      <c r="LY107" s="25"/>
      <c r="LZ107" s="25"/>
      <c r="MA107" s="25"/>
      <c r="MB107" s="25"/>
      <c r="MC107" s="25"/>
      <c r="MD107" s="25"/>
      <c r="ME107" s="25"/>
      <c r="MF107" s="25"/>
      <c r="MG107" s="25"/>
      <c r="MH107" s="25"/>
      <c r="MI107" s="25"/>
      <c r="MJ107" s="25"/>
      <c r="MK107" s="25"/>
      <c r="ML107" s="25"/>
      <c r="MM107" s="25"/>
      <c r="MN107" s="25"/>
      <c r="MO107" s="25"/>
      <c r="MP107" s="25"/>
      <c r="MQ107" s="25"/>
      <c r="MR107" s="25"/>
      <c r="MS107" s="25"/>
      <c r="MT107" s="25"/>
      <c r="MU107" s="25"/>
      <c r="MV107" s="25"/>
      <c r="MW107" s="25"/>
      <c r="MX107" s="25"/>
      <c r="MY107" s="25"/>
      <c r="MZ107" s="25"/>
      <c r="NA107" s="25"/>
      <c r="NB107" s="25"/>
      <c r="NC107" s="25"/>
      <c r="ND107" s="25"/>
      <c r="NE107" s="25"/>
      <c r="NF107" s="25"/>
      <c r="NG107" s="25"/>
      <c r="NH107" s="25"/>
      <c r="NI107" s="25"/>
      <c r="NJ107" s="25"/>
      <c r="NK107" s="25"/>
      <c r="NL107" s="25"/>
      <c r="NM107" s="25"/>
      <c r="NN107" s="25"/>
      <c r="NO107" s="25"/>
      <c r="NP107" s="25"/>
      <c r="NQ107" s="25"/>
      <c r="NR107" s="25"/>
      <c r="NS107" s="25"/>
      <c r="NT107" s="25"/>
      <c r="NU107" s="25"/>
      <c r="NV107" s="25"/>
      <c r="NW107" s="25"/>
      <c r="NX107" s="25"/>
      <c r="NY107" s="25"/>
      <c r="NZ107" s="25"/>
      <c r="OA107" s="25"/>
      <c r="OB107" s="25"/>
      <c r="OC107" s="25"/>
      <c r="OD107" s="25"/>
      <c r="OE107" s="25"/>
      <c r="OF107" s="25"/>
      <c r="OG107" s="25"/>
      <c r="OH107" s="25"/>
      <c r="OI107" s="25"/>
      <c r="OJ107" s="25"/>
      <c r="OK107" s="25"/>
      <c r="OL107" s="25"/>
      <c r="OM107" s="25"/>
      <c r="ON107" s="25"/>
      <c r="OO107" s="25"/>
      <c r="OP107" s="25"/>
      <c r="OQ107" s="25"/>
      <c r="OR107" s="25"/>
      <c r="OS107" s="25"/>
      <c r="OT107" s="25"/>
      <c r="OU107" s="25"/>
      <c r="OV107" s="25"/>
      <c r="OW107" s="25"/>
      <c r="OX107" s="25"/>
      <c r="OY107" s="25"/>
      <c r="OZ107" s="25"/>
      <c r="PA107" s="25"/>
      <c r="PB107" s="25"/>
      <c r="PC107" s="25"/>
      <c r="PD107" s="25"/>
      <c r="PE107" s="25"/>
      <c r="PF107" s="25"/>
      <c r="PG107" s="25"/>
      <c r="PH107" s="25"/>
      <c r="PI107" s="25"/>
      <c r="PJ107" s="25"/>
      <c r="PK107" s="25"/>
      <c r="PL107" s="25"/>
      <c r="PM107" s="25"/>
      <c r="PN107" s="25"/>
      <c r="PO107" s="25"/>
      <c r="PP107" s="25"/>
      <c r="PQ107" s="25"/>
      <c r="PR107" s="25"/>
      <c r="PS107" s="25"/>
      <c r="PT107" s="25"/>
      <c r="PU107" s="25"/>
      <c r="PV107" s="25"/>
      <c r="PW107" s="25"/>
      <c r="PX107" s="25"/>
      <c r="PY107" s="25"/>
      <c r="PZ107" s="25"/>
      <c r="QA107" s="25"/>
      <c r="QB107" s="25"/>
      <c r="QC107" s="25"/>
      <c r="QD107" s="25"/>
      <c r="QE107" s="25"/>
      <c r="QF107" s="25"/>
      <c r="QG107" s="25"/>
      <c r="QH107" s="25"/>
      <c r="QI107" s="25"/>
      <c r="QJ107" s="25"/>
      <c r="QK107" s="25"/>
      <c r="QL107" s="25"/>
      <c r="QM107" s="25"/>
      <c r="QN107" s="25"/>
      <c r="QO107" s="25"/>
      <c r="QP107" s="25"/>
      <c r="QQ107" s="25"/>
      <c r="QR107" s="25"/>
      <c r="QS107" s="25"/>
      <c r="QT107" s="25"/>
      <c r="QU107" s="25"/>
      <c r="QV107" s="25"/>
      <c r="QW107" s="25"/>
      <c r="QX107" s="25"/>
      <c r="QY107" s="25"/>
      <c r="QZ107" s="25"/>
      <c r="RA107" s="25"/>
      <c r="RB107" s="25"/>
      <c r="RC107" s="25"/>
      <c r="RD107" s="25"/>
      <c r="RE107" s="25"/>
      <c r="RF107" s="25"/>
      <c r="RG107" s="25"/>
      <c r="RH107" s="25"/>
      <c r="RI107" s="25"/>
      <c r="RJ107" s="25"/>
      <c r="RK107" s="25"/>
      <c r="RL107" s="25"/>
      <c r="RM107" s="25"/>
      <c r="RN107" s="25"/>
      <c r="RO107" s="25"/>
      <c r="RP107" s="25"/>
      <c r="RQ107" s="25"/>
      <c r="RR107" s="25"/>
      <c r="RS107" s="25"/>
      <c r="RT107" s="25"/>
      <c r="RU107" s="25"/>
      <c r="RV107" s="25"/>
      <c r="RW107" s="25"/>
      <c r="RX107" s="25"/>
      <c r="RY107" s="25"/>
      <c r="RZ107" s="25"/>
      <c r="SA107" s="25"/>
      <c r="SB107" s="25"/>
      <c r="SC107" s="25"/>
      <c r="SD107" s="25"/>
      <c r="SE107" s="25"/>
      <c r="SF107" s="25"/>
      <c r="SG107" s="25"/>
      <c r="SH107" s="25"/>
      <c r="SI107" s="25"/>
      <c r="SJ107" s="25"/>
      <c r="SK107" s="25"/>
      <c r="SL107" s="25"/>
      <c r="SM107" s="25"/>
      <c r="SN107" s="25"/>
      <c r="SO107" s="25"/>
      <c r="SP107" s="25"/>
      <c r="SQ107" s="25"/>
      <c r="SR107" s="25"/>
      <c r="SS107" s="25"/>
      <c r="ST107" s="25"/>
      <c r="SU107" s="25"/>
      <c r="SV107" s="25"/>
      <c r="SW107" s="25"/>
      <c r="SX107" s="25"/>
      <c r="SY107" s="25"/>
      <c r="SZ107" s="25"/>
      <c r="TA107" s="25"/>
      <c r="TB107" s="25"/>
      <c r="TC107" s="25"/>
      <c r="TD107" s="25"/>
      <c r="TE107" s="25"/>
      <c r="TF107" s="25"/>
      <c r="TG107" s="25"/>
      <c r="TH107" s="25"/>
      <c r="TI107" s="25"/>
      <c r="TJ107" s="25"/>
      <c r="TK107" s="25"/>
      <c r="TL107" s="25"/>
      <c r="TM107" s="25"/>
      <c r="TN107" s="25"/>
      <c r="TO107" s="25"/>
      <c r="TP107" s="25"/>
      <c r="TQ107" s="25"/>
      <c r="TR107" s="25"/>
      <c r="TS107" s="25"/>
      <c r="TT107" s="25"/>
      <c r="TU107" s="25"/>
      <c r="TV107" s="25"/>
      <c r="TW107" s="25"/>
      <c r="TX107" s="25"/>
      <c r="TY107" s="25"/>
      <c r="TZ107" s="25"/>
      <c r="UA107" s="25"/>
      <c r="UB107" s="25"/>
      <c r="UC107" s="25"/>
      <c r="UD107" s="25"/>
      <c r="UE107" s="25"/>
      <c r="UF107" s="25"/>
      <c r="UG107" s="25"/>
      <c r="UH107" s="25"/>
      <c r="UI107" s="25"/>
      <c r="UJ107" s="25"/>
      <c r="UK107" s="25"/>
      <c r="UL107" s="25"/>
      <c r="UM107" s="25"/>
      <c r="UN107" s="25"/>
      <c r="UO107" s="25"/>
      <c r="UP107" s="25"/>
      <c r="UQ107" s="25"/>
      <c r="UR107" s="25"/>
      <c r="US107" s="25"/>
      <c r="UT107" s="25"/>
      <c r="UU107" s="25"/>
      <c r="UV107" s="25"/>
      <c r="UW107" s="25"/>
      <c r="UX107" s="25"/>
      <c r="UY107" s="25"/>
      <c r="UZ107" s="25"/>
      <c r="VA107" s="25"/>
      <c r="VB107" s="25"/>
      <c r="VC107" s="25"/>
      <c r="VD107" s="25"/>
      <c r="VE107" s="25"/>
      <c r="VF107" s="25"/>
      <c r="VG107" s="25"/>
      <c r="VH107" s="25"/>
      <c r="VI107" s="25"/>
      <c r="VJ107" s="25"/>
      <c r="VK107" s="25"/>
      <c r="VL107" s="25"/>
      <c r="VM107" s="25"/>
      <c r="VN107" s="25"/>
      <c r="VO107" s="25"/>
      <c r="VP107" s="25"/>
      <c r="VQ107" s="25"/>
      <c r="VR107" s="25"/>
      <c r="VS107" s="25"/>
      <c r="VT107" s="25"/>
      <c r="VU107" s="25"/>
      <c r="VV107" s="25"/>
      <c r="VW107" s="25"/>
      <c r="VX107" s="25"/>
      <c r="VY107" s="25"/>
      <c r="VZ107" s="25"/>
      <c r="WA107" s="25"/>
      <c r="WB107" s="25"/>
      <c r="WC107" s="25"/>
      <c r="WD107" s="25"/>
      <c r="WE107" s="25"/>
      <c r="WF107" s="25"/>
      <c r="WG107" s="25"/>
      <c r="WH107" s="25"/>
      <c r="WI107" s="25"/>
      <c r="WJ107" s="25"/>
      <c r="WK107" s="25"/>
      <c r="WL107" s="25"/>
      <c r="WM107" s="25"/>
      <c r="WN107" s="25"/>
      <c r="WO107" s="25"/>
      <c r="WP107" s="25"/>
      <c r="WQ107" s="25"/>
      <c r="WR107" s="25"/>
      <c r="WS107" s="25"/>
      <c r="WT107" s="25"/>
      <c r="WU107" s="25"/>
      <c r="WV107" s="25"/>
      <c r="WW107" s="25"/>
      <c r="WX107" s="25"/>
      <c r="WY107" s="25"/>
      <c r="WZ107" s="25"/>
      <c r="XA107" s="25"/>
    </row>
    <row r="108" spans="1:625" x14ac:dyDescent="0.3">
      <c r="A108" s="46">
        <v>9.5</v>
      </c>
      <c r="B108" s="25" t="s">
        <v>218</v>
      </c>
      <c r="C108" s="26" t="s">
        <v>216</v>
      </c>
      <c r="D108" s="59">
        <v>1</v>
      </c>
      <c r="E108" s="41"/>
      <c r="F108" s="42"/>
      <c r="G108" s="48">
        <f>'WaterRevised for 2017'!D20</f>
        <v>20031.149999999998</v>
      </c>
      <c r="H108" s="42"/>
      <c r="I108" s="48">
        <f>G108*D108</f>
        <v>20031.149999999998</v>
      </c>
      <c r="J108" s="48">
        <f t="shared" si="10"/>
        <v>20031.149999999998</v>
      </c>
      <c r="K108" s="34"/>
      <c r="L108" s="34"/>
      <c r="M108" s="34"/>
      <c r="N108" s="34"/>
      <c r="O108" s="34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  <c r="IS108" s="25"/>
      <c r="IT108" s="25"/>
      <c r="IU108" s="25"/>
      <c r="IV108" s="25"/>
      <c r="IW108" s="25"/>
      <c r="IX108" s="25"/>
      <c r="IY108" s="25"/>
      <c r="IZ108" s="25"/>
      <c r="JA108" s="25"/>
      <c r="JB108" s="25"/>
      <c r="JC108" s="25"/>
      <c r="JD108" s="25"/>
      <c r="JE108" s="25"/>
      <c r="JF108" s="25"/>
      <c r="JG108" s="25"/>
      <c r="JH108" s="25"/>
      <c r="JI108" s="25"/>
      <c r="JJ108" s="25"/>
      <c r="JK108" s="25"/>
      <c r="JL108" s="25"/>
      <c r="JM108" s="25"/>
      <c r="JN108" s="25"/>
      <c r="JO108" s="25"/>
      <c r="JP108" s="25"/>
      <c r="JQ108" s="25"/>
      <c r="JR108" s="25"/>
      <c r="JS108" s="25"/>
      <c r="JT108" s="25"/>
      <c r="JU108" s="25"/>
      <c r="JV108" s="25"/>
      <c r="JW108" s="25"/>
      <c r="JX108" s="25"/>
      <c r="JY108" s="25"/>
      <c r="JZ108" s="25"/>
      <c r="KA108" s="25"/>
      <c r="KB108" s="25"/>
      <c r="KC108" s="25"/>
      <c r="KD108" s="25"/>
      <c r="KE108" s="25"/>
      <c r="KF108" s="25"/>
      <c r="KG108" s="25"/>
      <c r="KH108" s="25"/>
      <c r="KI108" s="25"/>
      <c r="KJ108" s="25"/>
      <c r="KK108" s="25"/>
      <c r="KL108" s="25"/>
      <c r="KM108" s="25"/>
      <c r="KN108" s="25"/>
      <c r="KO108" s="25"/>
      <c r="KP108" s="25"/>
      <c r="KQ108" s="25"/>
      <c r="KR108" s="25"/>
      <c r="KS108" s="25"/>
      <c r="KT108" s="25"/>
      <c r="KU108" s="25"/>
      <c r="KV108" s="25"/>
      <c r="KW108" s="25"/>
      <c r="KX108" s="25"/>
      <c r="KY108" s="25"/>
      <c r="KZ108" s="25"/>
      <c r="LA108" s="25"/>
      <c r="LB108" s="25"/>
      <c r="LC108" s="25"/>
      <c r="LD108" s="25"/>
      <c r="LE108" s="25"/>
      <c r="LF108" s="25"/>
      <c r="LG108" s="25"/>
      <c r="LH108" s="25"/>
      <c r="LI108" s="25"/>
      <c r="LJ108" s="25"/>
      <c r="LK108" s="25"/>
      <c r="LL108" s="25"/>
      <c r="LM108" s="25"/>
      <c r="LN108" s="25"/>
      <c r="LO108" s="25"/>
      <c r="LP108" s="25"/>
      <c r="LQ108" s="25"/>
      <c r="LR108" s="25"/>
      <c r="LS108" s="25"/>
      <c r="LT108" s="25"/>
      <c r="LU108" s="25"/>
      <c r="LV108" s="25"/>
      <c r="LW108" s="25"/>
      <c r="LX108" s="25"/>
      <c r="LY108" s="25"/>
      <c r="LZ108" s="25"/>
      <c r="MA108" s="25"/>
      <c r="MB108" s="25"/>
      <c r="MC108" s="25"/>
      <c r="MD108" s="25"/>
      <c r="ME108" s="25"/>
      <c r="MF108" s="25"/>
      <c r="MG108" s="25"/>
      <c r="MH108" s="25"/>
      <c r="MI108" s="25"/>
      <c r="MJ108" s="25"/>
      <c r="MK108" s="25"/>
      <c r="ML108" s="25"/>
      <c r="MM108" s="25"/>
      <c r="MN108" s="25"/>
      <c r="MO108" s="25"/>
      <c r="MP108" s="25"/>
      <c r="MQ108" s="25"/>
      <c r="MR108" s="25"/>
      <c r="MS108" s="25"/>
      <c r="MT108" s="25"/>
      <c r="MU108" s="25"/>
      <c r="MV108" s="25"/>
      <c r="MW108" s="25"/>
      <c r="MX108" s="25"/>
      <c r="MY108" s="25"/>
      <c r="MZ108" s="25"/>
      <c r="NA108" s="25"/>
      <c r="NB108" s="25"/>
      <c r="NC108" s="25"/>
      <c r="ND108" s="25"/>
      <c r="NE108" s="25"/>
      <c r="NF108" s="25"/>
      <c r="NG108" s="25"/>
      <c r="NH108" s="25"/>
      <c r="NI108" s="25"/>
      <c r="NJ108" s="25"/>
      <c r="NK108" s="25"/>
      <c r="NL108" s="25"/>
      <c r="NM108" s="25"/>
      <c r="NN108" s="25"/>
      <c r="NO108" s="25"/>
      <c r="NP108" s="25"/>
      <c r="NQ108" s="25"/>
      <c r="NR108" s="25"/>
      <c r="NS108" s="25"/>
      <c r="NT108" s="25"/>
      <c r="NU108" s="25"/>
      <c r="NV108" s="25"/>
      <c r="NW108" s="25"/>
      <c r="NX108" s="25"/>
      <c r="NY108" s="25"/>
      <c r="NZ108" s="25"/>
      <c r="OA108" s="25"/>
      <c r="OB108" s="25"/>
      <c r="OC108" s="25"/>
      <c r="OD108" s="25"/>
      <c r="OE108" s="25"/>
      <c r="OF108" s="25"/>
      <c r="OG108" s="25"/>
      <c r="OH108" s="25"/>
      <c r="OI108" s="25"/>
      <c r="OJ108" s="25"/>
      <c r="OK108" s="25"/>
      <c r="OL108" s="25"/>
      <c r="OM108" s="25"/>
      <c r="ON108" s="25"/>
      <c r="OO108" s="25"/>
      <c r="OP108" s="25"/>
      <c r="OQ108" s="25"/>
      <c r="OR108" s="25"/>
      <c r="OS108" s="25"/>
      <c r="OT108" s="25"/>
      <c r="OU108" s="25"/>
      <c r="OV108" s="25"/>
      <c r="OW108" s="25"/>
      <c r="OX108" s="25"/>
      <c r="OY108" s="25"/>
      <c r="OZ108" s="25"/>
      <c r="PA108" s="25"/>
      <c r="PB108" s="25"/>
      <c r="PC108" s="25"/>
      <c r="PD108" s="25"/>
      <c r="PE108" s="25"/>
      <c r="PF108" s="25"/>
      <c r="PG108" s="25"/>
      <c r="PH108" s="25"/>
      <c r="PI108" s="25"/>
      <c r="PJ108" s="25"/>
      <c r="PK108" s="25"/>
      <c r="PL108" s="25"/>
      <c r="PM108" s="25"/>
      <c r="PN108" s="25"/>
      <c r="PO108" s="25"/>
      <c r="PP108" s="25"/>
      <c r="PQ108" s="25"/>
      <c r="PR108" s="25"/>
      <c r="PS108" s="25"/>
      <c r="PT108" s="25"/>
      <c r="PU108" s="25"/>
      <c r="PV108" s="25"/>
      <c r="PW108" s="25"/>
      <c r="PX108" s="25"/>
      <c r="PY108" s="25"/>
      <c r="PZ108" s="25"/>
      <c r="QA108" s="25"/>
      <c r="QB108" s="25"/>
      <c r="QC108" s="25"/>
      <c r="QD108" s="25"/>
      <c r="QE108" s="25"/>
      <c r="QF108" s="25"/>
      <c r="QG108" s="25"/>
      <c r="QH108" s="25"/>
      <c r="QI108" s="25"/>
      <c r="QJ108" s="25"/>
      <c r="QK108" s="25"/>
      <c r="QL108" s="25"/>
      <c r="QM108" s="25"/>
      <c r="QN108" s="25"/>
      <c r="QO108" s="25"/>
      <c r="QP108" s="25"/>
      <c r="QQ108" s="25"/>
      <c r="QR108" s="25"/>
      <c r="QS108" s="25"/>
      <c r="QT108" s="25"/>
      <c r="QU108" s="25"/>
      <c r="QV108" s="25"/>
      <c r="QW108" s="25"/>
      <c r="QX108" s="25"/>
      <c r="QY108" s="25"/>
      <c r="QZ108" s="25"/>
      <c r="RA108" s="25"/>
      <c r="RB108" s="25"/>
      <c r="RC108" s="25"/>
      <c r="RD108" s="25"/>
      <c r="RE108" s="25"/>
      <c r="RF108" s="25"/>
      <c r="RG108" s="25"/>
      <c r="RH108" s="25"/>
      <c r="RI108" s="25"/>
      <c r="RJ108" s="25"/>
      <c r="RK108" s="25"/>
      <c r="RL108" s="25"/>
      <c r="RM108" s="25"/>
      <c r="RN108" s="25"/>
      <c r="RO108" s="25"/>
      <c r="RP108" s="25"/>
      <c r="RQ108" s="25"/>
      <c r="RR108" s="25"/>
      <c r="RS108" s="25"/>
      <c r="RT108" s="25"/>
      <c r="RU108" s="25"/>
      <c r="RV108" s="25"/>
      <c r="RW108" s="25"/>
      <c r="RX108" s="25"/>
      <c r="RY108" s="25"/>
      <c r="RZ108" s="25"/>
      <c r="SA108" s="25"/>
      <c r="SB108" s="25"/>
      <c r="SC108" s="25"/>
      <c r="SD108" s="25"/>
      <c r="SE108" s="25"/>
      <c r="SF108" s="25"/>
      <c r="SG108" s="25"/>
      <c r="SH108" s="25"/>
      <c r="SI108" s="25"/>
      <c r="SJ108" s="25"/>
      <c r="SK108" s="25"/>
      <c r="SL108" s="25"/>
      <c r="SM108" s="25"/>
      <c r="SN108" s="25"/>
      <c r="SO108" s="25"/>
      <c r="SP108" s="25"/>
      <c r="SQ108" s="25"/>
      <c r="SR108" s="25"/>
      <c r="SS108" s="25"/>
      <c r="ST108" s="25"/>
      <c r="SU108" s="25"/>
      <c r="SV108" s="25"/>
      <c r="SW108" s="25"/>
      <c r="SX108" s="25"/>
      <c r="SY108" s="25"/>
      <c r="SZ108" s="25"/>
      <c r="TA108" s="25"/>
      <c r="TB108" s="25"/>
      <c r="TC108" s="25"/>
      <c r="TD108" s="25"/>
      <c r="TE108" s="25"/>
      <c r="TF108" s="25"/>
      <c r="TG108" s="25"/>
      <c r="TH108" s="25"/>
      <c r="TI108" s="25"/>
      <c r="TJ108" s="25"/>
      <c r="TK108" s="25"/>
      <c r="TL108" s="25"/>
      <c r="TM108" s="25"/>
      <c r="TN108" s="25"/>
      <c r="TO108" s="25"/>
      <c r="TP108" s="25"/>
      <c r="TQ108" s="25"/>
      <c r="TR108" s="25"/>
      <c r="TS108" s="25"/>
      <c r="TT108" s="25"/>
      <c r="TU108" s="25"/>
      <c r="TV108" s="25"/>
      <c r="TW108" s="25"/>
      <c r="TX108" s="25"/>
      <c r="TY108" s="25"/>
      <c r="TZ108" s="25"/>
      <c r="UA108" s="25"/>
      <c r="UB108" s="25"/>
      <c r="UC108" s="25"/>
      <c r="UD108" s="25"/>
      <c r="UE108" s="25"/>
      <c r="UF108" s="25"/>
      <c r="UG108" s="25"/>
      <c r="UH108" s="25"/>
      <c r="UI108" s="25"/>
      <c r="UJ108" s="25"/>
      <c r="UK108" s="25"/>
      <c r="UL108" s="25"/>
      <c r="UM108" s="25"/>
      <c r="UN108" s="25"/>
      <c r="UO108" s="25"/>
      <c r="UP108" s="25"/>
      <c r="UQ108" s="25"/>
      <c r="UR108" s="25"/>
      <c r="US108" s="25"/>
      <c r="UT108" s="25"/>
      <c r="UU108" s="25"/>
      <c r="UV108" s="25"/>
      <c r="UW108" s="25"/>
      <c r="UX108" s="25"/>
      <c r="UY108" s="25"/>
      <c r="UZ108" s="25"/>
      <c r="VA108" s="25"/>
      <c r="VB108" s="25"/>
      <c r="VC108" s="25"/>
      <c r="VD108" s="25"/>
      <c r="VE108" s="25"/>
      <c r="VF108" s="25"/>
      <c r="VG108" s="25"/>
      <c r="VH108" s="25"/>
      <c r="VI108" s="25"/>
      <c r="VJ108" s="25"/>
      <c r="VK108" s="25"/>
      <c r="VL108" s="25"/>
      <c r="VM108" s="25"/>
      <c r="VN108" s="25"/>
      <c r="VO108" s="25"/>
      <c r="VP108" s="25"/>
      <c r="VQ108" s="25"/>
      <c r="VR108" s="25"/>
      <c r="VS108" s="25"/>
      <c r="VT108" s="25"/>
      <c r="VU108" s="25"/>
      <c r="VV108" s="25"/>
      <c r="VW108" s="25"/>
      <c r="VX108" s="25"/>
      <c r="VY108" s="25"/>
      <c r="VZ108" s="25"/>
      <c r="WA108" s="25"/>
      <c r="WB108" s="25"/>
      <c r="WC108" s="25"/>
      <c r="WD108" s="25"/>
      <c r="WE108" s="25"/>
      <c r="WF108" s="25"/>
      <c r="WG108" s="25"/>
      <c r="WH108" s="25"/>
      <c r="WI108" s="25"/>
      <c r="WJ108" s="25"/>
      <c r="WK108" s="25"/>
      <c r="WL108" s="25"/>
      <c r="WM108" s="25"/>
      <c r="WN108" s="25"/>
      <c r="WO108" s="25"/>
      <c r="WP108" s="25"/>
      <c r="WQ108" s="25"/>
      <c r="WR108" s="25"/>
      <c r="WS108" s="25"/>
      <c r="WT108" s="25"/>
      <c r="WU108" s="25"/>
      <c r="WV108" s="25"/>
      <c r="WW108" s="25"/>
      <c r="WX108" s="25"/>
      <c r="WY108" s="25"/>
      <c r="WZ108" s="25"/>
      <c r="XA108" s="25"/>
    </row>
    <row r="109" spans="1:625" x14ac:dyDescent="0.3">
      <c r="A109" s="46">
        <v>9.6</v>
      </c>
      <c r="B109" s="25" t="s">
        <v>219</v>
      </c>
      <c r="C109" s="26" t="s">
        <v>35</v>
      </c>
      <c r="D109" s="43">
        <v>778</v>
      </c>
      <c r="E109" s="41"/>
      <c r="F109" s="42"/>
      <c r="G109" s="34">
        <f>4*1.153</f>
        <v>4.6120000000000001</v>
      </c>
      <c r="H109" s="42"/>
      <c r="I109" s="44">
        <f>G109*D109</f>
        <v>3588.136</v>
      </c>
      <c r="J109" s="45">
        <f t="shared" si="10"/>
        <v>3588.136</v>
      </c>
      <c r="K109" s="36" t="s">
        <v>220</v>
      </c>
      <c r="L109" s="34"/>
      <c r="M109" s="34"/>
      <c r="N109" s="34"/>
      <c r="O109" s="34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  <c r="IO109" s="25"/>
      <c r="IP109" s="25"/>
      <c r="IQ109" s="25"/>
      <c r="IR109" s="25"/>
      <c r="IS109" s="25"/>
      <c r="IT109" s="25"/>
      <c r="IU109" s="25"/>
      <c r="IV109" s="25"/>
      <c r="IW109" s="25"/>
      <c r="IX109" s="25"/>
      <c r="IY109" s="25"/>
      <c r="IZ109" s="25"/>
      <c r="JA109" s="25"/>
      <c r="JB109" s="25"/>
      <c r="JC109" s="25"/>
      <c r="JD109" s="25"/>
      <c r="JE109" s="25"/>
      <c r="JF109" s="25"/>
      <c r="JG109" s="25"/>
      <c r="JH109" s="25"/>
      <c r="JI109" s="25"/>
      <c r="JJ109" s="25"/>
      <c r="JK109" s="25"/>
      <c r="JL109" s="25"/>
      <c r="JM109" s="25"/>
      <c r="JN109" s="25"/>
      <c r="JO109" s="25"/>
      <c r="JP109" s="25"/>
      <c r="JQ109" s="25"/>
      <c r="JR109" s="25"/>
      <c r="JS109" s="25"/>
      <c r="JT109" s="25"/>
      <c r="JU109" s="25"/>
      <c r="JV109" s="25"/>
      <c r="JW109" s="25"/>
      <c r="JX109" s="25"/>
      <c r="JY109" s="25"/>
      <c r="JZ109" s="25"/>
      <c r="KA109" s="25"/>
      <c r="KB109" s="25"/>
      <c r="KC109" s="25"/>
      <c r="KD109" s="25"/>
      <c r="KE109" s="25"/>
      <c r="KF109" s="25"/>
      <c r="KG109" s="25"/>
      <c r="KH109" s="25"/>
      <c r="KI109" s="25"/>
      <c r="KJ109" s="25"/>
      <c r="KK109" s="25"/>
      <c r="KL109" s="25"/>
      <c r="KM109" s="25"/>
      <c r="KN109" s="25"/>
      <c r="KO109" s="25"/>
      <c r="KP109" s="25"/>
      <c r="KQ109" s="25"/>
      <c r="KR109" s="25"/>
      <c r="KS109" s="25"/>
      <c r="KT109" s="25"/>
      <c r="KU109" s="25"/>
      <c r="KV109" s="25"/>
      <c r="KW109" s="25"/>
      <c r="KX109" s="25"/>
      <c r="KY109" s="25"/>
      <c r="KZ109" s="25"/>
      <c r="LA109" s="25"/>
      <c r="LB109" s="25"/>
      <c r="LC109" s="25"/>
      <c r="LD109" s="25"/>
      <c r="LE109" s="25"/>
      <c r="LF109" s="25"/>
      <c r="LG109" s="25"/>
      <c r="LH109" s="25"/>
      <c r="LI109" s="25"/>
      <c r="LJ109" s="25"/>
      <c r="LK109" s="25"/>
      <c r="LL109" s="25"/>
      <c r="LM109" s="25"/>
      <c r="LN109" s="25"/>
      <c r="LO109" s="25"/>
      <c r="LP109" s="25"/>
      <c r="LQ109" s="25"/>
      <c r="LR109" s="25"/>
      <c r="LS109" s="25"/>
      <c r="LT109" s="25"/>
      <c r="LU109" s="25"/>
      <c r="LV109" s="25"/>
      <c r="LW109" s="25"/>
      <c r="LX109" s="25"/>
      <c r="LY109" s="25"/>
      <c r="LZ109" s="25"/>
      <c r="MA109" s="25"/>
      <c r="MB109" s="25"/>
      <c r="MC109" s="25"/>
      <c r="MD109" s="25"/>
      <c r="ME109" s="25"/>
      <c r="MF109" s="25"/>
      <c r="MG109" s="25"/>
      <c r="MH109" s="25"/>
      <c r="MI109" s="25"/>
      <c r="MJ109" s="25"/>
      <c r="MK109" s="25"/>
      <c r="ML109" s="25"/>
      <c r="MM109" s="25"/>
      <c r="MN109" s="25"/>
      <c r="MO109" s="25"/>
      <c r="MP109" s="25"/>
      <c r="MQ109" s="25"/>
      <c r="MR109" s="25"/>
      <c r="MS109" s="25"/>
      <c r="MT109" s="25"/>
      <c r="MU109" s="25"/>
      <c r="MV109" s="25"/>
      <c r="MW109" s="25"/>
      <c r="MX109" s="25"/>
      <c r="MY109" s="25"/>
      <c r="MZ109" s="25"/>
      <c r="NA109" s="25"/>
      <c r="NB109" s="25"/>
      <c r="NC109" s="25"/>
      <c r="ND109" s="25"/>
      <c r="NE109" s="25"/>
      <c r="NF109" s="25"/>
      <c r="NG109" s="25"/>
      <c r="NH109" s="25"/>
      <c r="NI109" s="25"/>
      <c r="NJ109" s="25"/>
      <c r="NK109" s="25"/>
      <c r="NL109" s="25"/>
      <c r="NM109" s="25"/>
      <c r="NN109" s="25"/>
      <c r="NO109" s="25"/>
      <c r="NP109" s="25"/>
      <c r="NQ109" s="25"/>
      <c r="NR109" s="25"/>
      <c r="NS109" s="25"/>
      <c r="NT109" s="25"/>
      <c r="NU109" s="25"/>
      <c r="NV109" s="25"/>
      <c r="NW109" s="25"/>
      <c r="NX109" s="25"/>
      <c r="NY109" s="25"/>
      <c r="NZ109" s="25"/>
      <c r="OA109" s="25"/>
      <c r="OB109" s="25"/>
      <c r="OC109" s="25"/>
      <c r="OD109" s="25"/>
      <c r="OE109" s="25"/>
      <c r="OF109" s="25"/>
      <c r="OG109" s="25"/>
      <c r="OH109" s="25"/>
      <c r="OI109" s="25"/>
      <c r="OJ109" s="25"/>
      <c r="OK109" s="25"/>
      <c r="OL109" s="25"/>
      <c r="OM109" s="25"/>
      <c r="ON109" s="25"/>
      <c r="OO109" s="25"/>
      <c r="OP109" s="25"/>
      <c r="OQ109" s="25"/>
      <c r="OR109" s="25"/>
      <c r="OS109" s="25"/>
      <c r="OT109" s="25"/>
      <c r="OU109" s="25"/>
      <c r="OV109" s="25"/>
      <c r="OW109" s="25"/>
      <c r="OX109" s="25"/>
      <c r="OY109" s="25"/>
      <c r="OZ109" s="25"/>
      <c r="PA109" s="25"/>
      <c r="PB109" s="25"/>
      <c r="PC109" s="25"/>
      <c r="PD109" s="25"/>
      <c r="PE109" s="25"/>
      <c r="PF109" s="25"/>
      <c r="PG109" s="25"/>
      <c r="PH109" s="25"/>
      <c r="PI109" s="25"/>
      <c r="PJ109" s="25"/>
      <c r="PK109" s="25"/>
      <c r="PL109" s="25"/>
      <c r="PM109" s="25"/>
      <c r="PN109" s="25"/>
      <c r="PO109" s="25"/>
      <c r="PP109" s="25"/>
      <c r="PQ109" s="25"/>
      <c r="PR109" s="25"/>
      <c r="PS109" s="25"/>
      <c r="PT109" s="25"/>
      <c r="PU109" s="25"/>
      <c r="PV109" s="25"/>
      <c r="PW109" s="25"/>
      <c r="PX109" s="25"/>
      <c r="PY109" s="25"/>
      <c r="PZ109" s="25"/>
      <c r="QA109" s="25"/>
      <c r="QB109" s="25"/>
      <c r="QC109" s="25"/>
      <c r="QD109" s="25"/>
      <c r="QE109" s="25"/>
      <c r="QF109" s="25"/>
      <c r="QG109" s="25"/>
      <c r="QH109" s="25"/>
      <c r="QI109" s="25"/>
      <c r="QJ109" s="25"/>
      <c r="QK109" s="25"/>
      <c r="QL109" s="25"/>
      <c r="QM109" s="25"/>
      <c r="QN109" s="25"/>
      <c r="QO109" s="25"/>
      <c r="QP109" s="25"/>
      <c r="QQ109" s="25"/>
      <c r="QR109" s="25"/>
      <c r="QS109" s="25"/>
      <c r="QT109" s="25"/>
      <c r="QU109" s="25"/>
      <c r="QV109" s="25"/>
      <c r="QW109" s="25"/>
      <c r="QX109" s="25"/>
      <c r="QY109" s="25"/>
      <c r="QZ109" s="25"/>
      <c r="RA109" s="25"/>
      <c r="RB109" s="25"/>
      <c r="RC109" s="25"/>
      <c r="RD109" s="25"/>
      <c r="RE109" s="25"/>
      <c r="RF109" s="25"/>
      <c r="RG109" s="25"/>
      <c r="RH109" s="25"/>
      <c r="RI109" s="25"/>
      <c r="RJ109" s="25"/>
      <c r="RK109" s="25"/>
      <c r="RL109" s="25"/>
      <c r="RM109" s="25"/>
      <c r="RN109" s="25"/>
      <c r="RO109" s="25"/>
      <c r="RP109" s="25"/>
      <c r="RQ109" s="25"/>
      <c r="RR109" s="25"/>
      <c r="RS109" s="25"/>
      <c r="RT109" s="25"/>
      <c r="RU109" s="25"/>
      <c r="RV109" s="25"/>
      <c r="RW109" s="25"/>
      <c r="RX109" s="25"/>
      <c r="RY109" s="25"/>
      <c r="RZ109" s="25"/>
      <c r="SA109" s="25"/>
      <c r="SB109" s="25"/>
      <c r="SC109" s="25"/>
      <c r="SD109" s="25"/>
      <c r="SE109" s="25"/>
      <c r="SF109" s="25"/>
      <c r="SG109" s="25"/>
      <c r="SH109" s="25"/>
      <c r="SI109" s="25"/>
      <c r="SJ109" s="25"/>
      <c r="SK109" s="25"/>
      <c r="SL109" s="25"/>
      <c r="SM109" s="25"/>
      <c r="SN109" s="25"/>
      <c r="SO109" s="25"/>
      <c r="SP109" s="25"/>
      <c r="SQ109" s="25"/>
      <c r="SR109" s="25"/>
      <c r="SS109" s="25"/>
      <c r="ST109" s="25"/>
      <c r="SU109" s="25"/>
      <c r="SV109" s="25"/>
      <c r="SW109" s="25"/>
      <c r="SX109" s="25"/>
      <c r="SY109" s="25"/>
      <c r="SZ109" s="25"/>
      <c r="TA109" s="25"/>
      <c r="TB109" s="25"/>
      <c r="TC109" s="25"/>
      <c r="TD109" s="25"/>
      <c r="TE109" s="25"/>
      <c r="TF109" s="25"/>
      <c r="TG109" s="25"/>
      <c r="TH109" s="25"/>
      <c r="TI109" s="25"/>
      <c r="TJ109" s="25"/>
      <c r="TK109" s="25"/>
      <c r="TL109" s="25"/>
      <c r="TM109" s="25"/>
      <c r="TN109" s="25"/>
      <c r="TO109" s="25"/>
      <c r="TP109" s="25"/>
      <c r="TQ109" s="25"/>
      <c r="TR109" s="25"/>
      <c r="TS109" s="25"/>
      <c r="TT109" s="25"/>
      <c r="TU109" s="25"/>
      <c r="TV109" s="25"/>
      <c r="TW109" s="25"/>
      <c r="TX109" s="25"/>
      <c r="TY109" s="25"/>
      <c r="TZ109" s="25"/>
      <c r="UA109" s="25"/>
      <c r="UB109" s="25"/>
      <c r="UC109" s="25"/>
      <c r="UD109" s="25"/>
      <c r="UE109" s="25"/>
      <c r="UF109" s="25"/>
      <c r="UG109" s="25"/>
      <c r="UH109" s="25"/>
      <c r="UI109" s="25"/>
      <c r="UJ109" s="25"/>
      <c r="UK109" s="25"/>
      <c r="UL109" s="25"/>
      <c r="UM109" s="25"/>
      <c r="UN109" s="25"/>
      <c r="UO109" s="25"/>
      <c r="UP109" s="25"/>
      <c r="UQ109" s="25"/>
      <c r="UR109" s="25"/>
      <c r="US109" s="25"/>
      <c r="UT109" s="25"/>
      <c r="UU109" s="25"/>
      <c r="UV109" s="25"/>
      <c r="UW109" s="25"/>
      <c r="UX109" s="25"/>
      <c r="UY109" s="25"/>
      <c r="UZ109" s="25"/>
      <c r="VA109" s="25"/>
      <c r="VB109" s="25"/>
      <c r="VC109" s="25"/>
      <c r="VD109" s="25"/>
      <c r="VE109" s="25"/>
      <c r="VF109" s="25"/>
      <c r="VG109" s="25"/>
      <c r="VH109" s="25"/>
      <c r="VI109" s="25"/>
      <c r="VJ109" s="25"/>
      <c r="VK109" s="25"/>
      <c r="VL109" s="25"/>
      <c r="VM109" s="25"/>
      <c r="VN109" s="25"/>
      <c r="VO109" s="25"/>
      <c r="VP109" s="25"/>
      <c r="VQ109" s="25"/>
      <c r="VR109" s="25"/>
      <c r="VS109" s="25"/>
      <c r="VT109" s="25"/>
      <c r="VU109" s="25"/>
      <c r="VV109" s="25"/>
      <c r="VW109" s="25"/>
      <c r="VX109" s="25"/>
      <c r="VY109" s="25"/>
      <c r="VZ109" s="25"/>
      <c r="WA109" s="25"/>
      <c r="WB109" s="25"/>
      <c r="WC109" s="25"/>
      <c r="WD109" s="25"/>
      <c r="WE109" s="25"/>
      <c r="WF109" s="25"/>
      <c r="WG109" s="25"/>
      <c r="WH109" s="25"/>
      <c r="WI109" s="25"/>
      <c r="WJ109" s="25"/>
      <c r="WK109" s="25"/>
      <c r="WL109" s="25"/>
      <c r="WM109" s="25"/>
      <c r="WN109" s="25"/>
      <c r="WO109" s="25"/>
      <c r="WP109" s="25"/>
      <c r="WQ109" s="25"/>
      <c r="WR109" s="25"/>
      <c r="WS109" s="25"/>
      <c r="WT109" s="25"/>
      <c r="WU109" s="25"/>
      <c r="WV109" s="25"/>
      <c r="WW109" s="25"/>
      <c r="WX109" s="25"/>
      <c r="WY109" s="25"/>
      <c r="WZ109" s="25"/>
      <c r="XA109" s="25"/>
    </row>
    <row r="110" spans="1:625" x14ac:dyDescent="0.3">
      <c r="A110" s="46"/>
      <c r="B110" s="25"/>
      <c r="C110" s="26"/>
      <c r="D110" s="59"/>
      <c r="E110" s="41"/>
      <c r="F110" s="42"/>
      <c r="G110" s="34"/>
      <c r="H110" s="42"/>
      <c r="I110" s="44"/>
      <c r="J110" s="45"/>
      <c r="K110" s="36"/>
      <c r="L110" s="34"/>
      <c r="M110" s="34"/>
      <c r="N110" s="34"/>
      <c r="O110" s="34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  <c r="IR110" s="25"/>
      <c r="IS110" s="25"/>
      <c r="IT110" s="25"/>
      <c r="IU110" s="25"/>
      <c r="IV110" s="25"/>
      <c r="IW110" s="25"/>
      <c r="IX110" s="25"/>
      <c r="IY110" s="25"/>
      <c r="IZ110" s="25"/>
      <c r="JA110" s="25"/>
      <c r="JB110" s="25"/>
      <c r="JC110" s="25"/>
      <c r="JD110" s="25"/>
      <c r="JE110" s="25"/>
      <c r="JF110" s="25"/>
      <c r="JG110" s="25"/>
      <c r="JH110" s="25"/>
      <c r="JI110" s="25"/>
      <c r="JJ110" s="25"/>
      <c r="JK110" s="25"/>
      <c r="JL110" s="25"/>
      <c r="JM110" s="25"/>
      <c r="JN110" s="25"/>
      <c r="JO110" s="25"/>
      <c r="JP110" s="25"/>
      <c r="JQ110" s="25"/>
      <c r="JR110" s="25"/>
      <c r="JS110" s="25"/>
      <c r="JT110" s="25"/>
      <c r="JU110" s="25"/>
      <c r="JV110" s="25"/>
      <c r="JW110" s="25"/>
      <c r="JX110" s="25"/>
      <c r="JY110" s="25"/>
      <c r="JZ110" s="25"/>
      <c r="KA110" s="25"/>
      <c r="KB110" s="25"/>
      <c r="KC110" s="25"/>
      <c r="KD110" s="25"/>
      <c r="KE110" s="25"/>
      <c r="KF110" s="25"/>
      <c r="KG110" s="25"/>
      <c r="KH110" s="25"/>
      <c r="KI110" s="25"/>
      <c r="KJ110" s="25"/>
      <c r="KK110" s="25"/>
      <c r="KL110" s="25"/>
      <c r="KM110" s="25"/>
      <c r="KN110" s="25"/>
      <c r="KO110" s="25"/>
      <c r="KP110" s="25"/>
      <c r="KQ110" s="25"/>
      <c r="KR110" s="25"/>
      <c r="KS110" s="25"/>
      <c r="KT110" s="25"/>
      <c r="KU110" s="25"/>
      <c r="KV110" s="25"/>
      <c r="KW110" s="25"/>
      <c r="KX110" s="25"/>
      <c r="KY110" s="25"/>
      <c r="KZ110" s="25"/>
      <c r="LA110" s="25"/>
      <c r="LB110" s="25"/>
      <c r="LC110" s="25"/>
      <c r="LD110" s="25"/>
      <c r="LE110" s="25"/>
      <c r="LF110" s="25"/>
      <c r="LG110" s="25"/>
      <c r="LH110" s="25"/>
      <c r="LI110" s="25"/>
      <c r="LJ110" s="25"/>
      <c r="LK110" s="25"/>
      <c r="LL110" s="25"/>
      <c r="LM110" s="25"/>
      <c r="LN110" s="25"/>
      <c r="LO110" s="25"/>
      <c r="LP110" s="25"/>
      <c r="LQ110" s="25"/>
      <c r="LR110" s="25"/>
      <c r="LS110" s="25"/>
      <c r="LT110" s="25"/>
      <c r="LU110" s="25"/>
      <c r="LV110" s="25"/>
      <c r="LW110" s="25"/>
      <c r="LX110" s="25"/>
      <c r="LY110" s="25"/>
      <c r="LZ110" s="25"/>
      <c r="MA110" s="25"/>
      <c r="MB110" s="25"/>
      <c r="MC110" s="25"/>
      <c r="MD110" s="25"/>
      <c r="ME110" s="25"/>
      <c r="MF110" s="25"/>
      <c r="MG110" s="25"/>
      <c r="MH110" s="25"/>
      <c r="MI110" s="25"/>
      <c r="MJ110" s="25"/>
      <c r="MK110" s="25"/>
      <c r="ML110" s="25"/>
      <c r="MM110" s="25"/>
      <c r="MN110" s="25"/>
      <c r="MO110" s="25"/>
      <c r="MP110" s="25"/>
      <c r="MQ110" s="25"/>
      <c r="MR110" s="25"/>
      <c r="MS110" s="25"/>
      <c r="MT110" s="25"/>
      <c r="MU110" s="25"/>
      <c r="MV110" s="25"/>
      <c r="MW110" s="25"/>
      <c r="MX110" s="25"/>
      <c r="MY110" s="25"/>
      <c r="MZ110" s="25"/>
      <c r="NA110" s="25"/>
      <c r="NB110" s="25"/>
      <c r="NC110" s="25"/>
      <c r="ND110" s="25"/>
      <c r="NE110" s="25"/>
      <c r="NF110" s="25"/>
      <c r="NG110" s="25"/>
      <c r="NH110" s="25"/>
      <c r="NI110" s="25"/>
      <c r="NJ110" s="25"/>
      <c r="NK110" s="25"/>
      <c r="NL110" s="25"/>
      <c r="NM110" s="25"/>
      <c r="NN110" s="25"/>
      <c r="NO110" s="25"/>
      <c r="NP110" s="25"/>
      <c r="NQ110" s="25"/>
      <c r="NR110" s="25"/>
      <c r="NS110" s="25"/>
      <c r="NT110" s="25"/>
      <c r="NU110" s="25"/>
      <c r="NV110" s="25"/>
      <c r="NW110" s="25"/>
      <c r="NX110" s="25"/>
      <c r="NY110" s="25"/>
      <c r="NZ110" s="25"/>
      <c r="OA110" s="25"/>
      <c r="OB110" s="25"/>
      <c r="OC110" s="25"/>
      <c r="OD110" s="25"/>
      <c r="OE110" s="25"/>
      <c r="OF110" s="25"/>
      <c r="OG110" s="25"/>
      <c r="OH110" s="25"/>
      <c r="OI110" s="25"/>
      <c r="OJ110" s="25"/>
      <c r="OK110" s="25"/>
      <c r="OL110" s="25"/>
      <c r="OM110" s="25"/>
      <c r="ON110" s="25"/>
      <c r="OO110" s="25"/>
      <c r="OP110" s="25"/>
      <c r="OQ110" s="25"/>
      <c r="OR110" s="25"/>
      <c r="OS110" s="25"/>
      <c r="OT110" s="25"/>
      <c r="OU110" s="25"/>
      <c r="OV110" s="25"/>
      <c r="OW110" s="25"/>
      <c r="OX110" s="25"/>
      <c r="OY110" s="25"/>
      <c r="OZ110" s="25"/>
      <c r="PA110" s="25"/>
      <c r="PB110" s="25"/>
      <c r="PC110" s="25"/>
      <c r="PD110" s="25"/>
      <c r="PE110" s="25"/>
      <c r="PF110" s="25"/>
      <c r="PG110" s="25"/>
      <c r="PH110" s="25"/>
      <c r="PI110" s="25"/>
      <c r="PJ110" s="25"/>
      <c r="PK110" s="25"/>
      <c r="PL110" s="25"/>
      <c r="PM110" s="25"/>
      <c r="PN110" s="25"/>
      <c r="PO110" s="25"/>
      <c r="PP110" s="25"/>
      <c r="PQ110" s="25"/>
      <c r="PR110" s="25"/>
      <c r="PS110" s="25"/>
      <c r="PT110" s="25"/>
      <c r="PU110" s="25"/>
      <c r="PV110" s="25"/>
      <c r="PW110" s="25"/>
      <c r="PX110" s="25"/>
      <c r="PY110" s="25"/>
      <c r="PZ110" s="25"/>
      <c r="QA110" s="25"/>
      <c r="QB110" s="25"/>
      <c r="QC110" s="25"/>
      <c r="QD110" s="25"/>
      <c r="QE110" s="25"/>
      <c r="QF110" s="25"/>
      <c r="QG110" s="25"/>
      <c r="QH110" s="25"/>
      <c r="QI110" s="25"/>
      <c r="QJ110" s="25"/>
      <c r="QK110" s="25"/>
      <c r="QL110" s="25"/>
      <c r="QM110" s="25"/>
      <c r="QN110" s="25"/>
      <c r="QO110" s="25"/>
      <c r="QP110" s="25"/>
      <c r="QQ110" s="25"/>
      <c r="QR110" s="25"/>
      <c r="QS110" s="25"/>
      <c r="QT110" s="25"/>
      <c r="QU110" s="25"/>
      <c r="QV110" s="25"/>
      <c r="QW110" s="25"/>
      <c r="QX110" s="25"/>
      <c r="QY110" s="25"/>
      <c r="QZ110" s="25"/>
      <c r="RA110" s="25"/>
      <c r="RB110" s="25"/>
      <c r="RC110" s="25"/>
      <c r="RD110" s="25"/>
      <c r="RE110" s="25"/>
      <c r="RF110" s="25"/>
      <c r="RG110" s="25"/>
      <c r="RH110" s="25"/>
      <c r="RI110" s="25"/>
      <c r="RJ110" s="25"/>
      <c r="RK110" s="25"/>
      <c r="RL110" s="25"/>
      <c r="RM110" s="25"/>
      <c r="RN110" s="25"/>
      <c r="RO110" s="25"/>
      <c r="RP110" s="25"/>
      <c r="RQ110" s="25"/>
      <c r="RR110" s="25"/>
      <c r="RS110" s="25"/>
      <c r="RT110" s="25"/>
      <c r="RU110" s="25"/>
      <c r="RV110" s="25"/>
      <c r="RW110" s="25"/>
      <c r="RX110" s="25"/>
      <c r="RY110" s="25"/>
      <c r="RZ110" s="25"/>
      <c r="SA110" s="25"/>
      <c r="SB110" s="25"/>
      <c r="SC110" s="25"/>
      <c r="SD110" s="25"/>
      <c r="SE110" s="25"/>
      <c r="SF110" s="25"/>
      <c r="SG110" s="25"/>
      <c r="SH110" s="25"/>
      <c r="SI110" s="25"/>
      <c r="SJ110" s="25"/>
      <c r="SK110" s="25"/>
      <c r="SL110" s="25"/>
      <c r="SM110" s="25"/>
      <c r="SN110" s="25"/>
      <c r="SO110" s="25"/>
      <c r="SP110" s="25"/>
      <c r="SQ110" s="25"/>
      <c r="SR110" s="25"/>
      <c r="SS110" s="25"/>
      <c r="ST110" s="25"/>
      <c r="SU110" s="25"/>
      <c r="SV110" s="25"/>
      <c r="SW110" s="25"/>
      <c r="SX110" s="25"/>
      <c r="SY110" s="25"/>
      <c r="SZ110" s="25"/>
      <c r="TA110" s="25"/>
      <c r="TB110" s="25"/>
      <c r="TC110" s="25"/>
      <c r="TD110" s="25"/>
      <c r="TE110" s="25"/>
      <c r="TF110" s="25"/>
      <c r="TG110" s="25"/>
      <c r="TH110" s="25"/>
      <c r="TI110" s="25"/>
      <c r="TJ110" s="25"/>
      <c r="TK110" s="25"/>
      <c r="TL110" s="25"/>
      <c r="TM110" s="25"/>
      <c r="TN110" s="25"/>
      <c r="TO110" s="25"/>
      <c r="TP110" s="25"/>
      <c r="TQ110" s="25"/>
      <c r="TR110" s="25"/>
      <c r="TS110" s="25"/>
      <c r="TT110" s="25"/>
      <c r="TU110" s="25"/>
      <c r="TV110" s="25"/>
      <c r="TW110" s="25"/>
      <c r="TX110" s="25"/>
      <c r="TY110" s="25"/>
      <c r="TZ110" s="25"/>
      <c r="UA110" s="25"/>
      <c r="UB110" s="25"/>
      <c r="UC110" s="25"/>
      <c r="UD110" s="25"/>
      <c r="UE110" s="25"/>
      <c r="UF110" s="25"/>
      <c r="UG110" s="25"/>
      <c r="UH110" s="25"/>
      <c r="UI110" s="25"/>
      <c r="UJ110" s="25"/>
      <c r="UK110" s="25"/>
      <c r="UL110" s="25"/>
      <c r="UM110" s="25"/>
      <c r="UN110" s="25"/>
      <c r="UO110" s="25"/>
      <c r="UP110" s="25"/>
      <c r="UQ110" s="25"/>
      <c r="UR110" s="25"/>
      <c r="US110" s="25"/>
      <c r="UT110" s="25"/>
      <c r="UU110" s="25"/>
      <c r="UV110" s="25"/>
      <c r="UW110" s="25"/>
      <c r="UX110" s="25"/>
      <c r="UY110" s="25"/>
      <c r="UZ110" s="25"/>
      <c r="VA110" s="25"/>
      <c r="VB110" s="25"/>
      <c r="VC110" s="25"/>
      <c r="VD110" s="25"/>
      <c r="VE110" s="25"/>
      <c r="VF110" s="25"/>
      <c r="VG110" s="25"/>
      <c r="VH110" s="25"/>
      <c r="VI110" s="25"/>
      <c r="VJ110" s="25"/>
      <c r="VK110" s="25"/>
      <c r="VL110" s="25"/>
      <c r="VM110" s="25"/>
      <c r="VN110" s="25"/>
      <c r="VO110" s="25"/>
      <c r="VP110" s="25"/>
      <c r="VQ110" s="25"/>
      <c r="VR110" s="25"/>
      <c r="VS110" s="25"/>
      <c r="VT110" s="25"/>
      <c r="VU110" s="25"/>
      <c r="VV110" s="25"/>
      <c r="VW110" s="25"/>
      <c r="VX110" s="25"/>
      <c r="VY110" s="25"/>
      <c r="VZ110" s="25"/>
      <c r="WA110" s="25"/>
      <c r="WB110" s="25"/>
      <c r="WC110" s="25"/>
      <c r="WD110" s="25"/>
      <c r="WE110" s="25"/>
      <c r="WF110" s="25"/>
      <c r="WG110" s="25"/>
      <c r="WH110" s="25"/>
      <c r="WI110" s="25"/>
      <c r="WJ110" s="25"/>
      <c r="WK110" s="25"/>
      <c r="WL110" s="25"/>
      <c r="WM110" s="25"/>
      <c r="WN110" s="25"/>
      <c r="WO110" s="25"/>
      <c r="WP110" s="25"/>
      <c r="WQ110" s="25"/>
      <c r="WR110" s="25"/>
      <c r="WS110" s="25"/>
      <c r="WT110" s="25"/>
      <c r="WU110" s="25"/>
      <c r="WV110" s="25"/>
      <c r="WW110" s="25"/>
      <c r="WX110" s="25"/>
      <c r="WY110" s="25"/>
      <c r="WZ110" s="25"/>
      <c r="XA110" s="25"/>
    </row>
    <row r="111" spans="1:625" x14ac:dyDescent="0.3">
      <c r="A111" s="46">
        <v>9.6</v>
      </c>
      <c r="B111" s="25" t="s">
        <v>221</v>
      </c>
      <c r="C111" s="25" t="s">
        <v>182</v>
      </c>
      <c r="D111" s="43">
        <v>10</v>
      </c>
      <c r="E111" s="41">
        <v>1000</v>
      </c>
      <c r="F111" s="42">
        <v>1000</v>
      </c>
      <c r="G111" s="34">
        <f>F111*1.153</f>
        <v>1153</v>
      </c>
      <c r="H111" s="42"/>
      <c r="I111" s="44">
        <f>D111*G111</f>
        <v>11530</v>
      </c>
      <c r="J111" s="45">
        <f>I111</f>
        <v>11530</v>
      </c>
      <c r="K111" s="34" t="s">
        <v>24</v>
      </c>
      <c r="L111" s="34"/>
      <c r="M111" s="34"/>
      <c r="N111" s="34"/>
      <c r="O111" s="34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  <c r="IS111" s="25"/>
      <c r="IT111" s="25"/>
      <c r="IU111" s="25"/>
      <c r="IV111" s="25"/>
      <c r="IW111" s="25"/>
      <c r="IX111" s="25"/>
      <c r="IY111" s="25"/>
      <c r="IZ111" s="25"/>
      <c r="JA111" s="25"/>
      <c r="JB111" s="25"/>
      <c r="JC111" s="25"/>
      <c r="JD111" s="25"/>
      <c r="JE111" s="25"/>
      <c r="JF111" s="25"/>
      <c r="JG111" s="25"/>
      <c r="JH111" s="25"/>
      <c r="JI111" s="25"/>
      <c r="JJ111" s="25"/>
      <c r="JK111" s="25"/>
      <c r="JL111" s="25"/>
      <c r="JM111" s="25"/>
      <c r="JN111" s="25"/>
      <c r="JO111" s="25"/>
      <c r="JP111" s="25"/>
      <c r="JQ111" s="25"/>
      <c r="JR111" s="25"/>
      <c r="JS111" s="25"/>
      <c r="JT111" s="25"/>
      <c r="JU111" s="25"/>
      <c r="JV111" s="25"/>
      <c r="JW111" s="25"/>
      <c r="JX111" s="25"/>
      <c r="JY111" s="25"/>
      <c r="JZ111" s="25"/>
      <c r="KA111" s="25"/>
      <c r="KB111" s="25"/>
      <c r="KC111" s="25"/>
      <c r="KD111" s="25"/>
      <c r="KE111" s="25"/>
      <c r="KF111" s="25"/>
      <c r="KG111" s="25"/>
      <c r="KH111" s="25"/>
      <c r="KI111" s="25"/>
      <c r="KJ111" s="25"/>
      <c r="KK111" s="25"/>
      <c r="KL111" s="25"/>
      <c r="KM111" s="25"/>
      <c r="KN111" s="25"/>
      <c r="KO111" s="25"/>
      <c r="KP111" s="25"/>
      <c r="KQ111" s="25"/>
      <c r="KR111" s="25"/>
      <c r="KS111" s="25"/>
      <c r="KT111" s="25"/>
      <c r="KU111" s="25"/>
      <c r="KV111" s="25"/>
      <c r="KW111" s="25"/>
      <c r="KX111" s="25"/>
      <c r="KY111" s="25"/>
      <c r="KZ111" s="25"/>
      <c r="LA111" s="25"/>
      <c r="LB111" s="25"/>
      <c r="LC111" s="25"/>
      <c r="LD111" s="25"/>
      <c r="LE111" s="25"/>
      <c r="LF111" s="25"/>
      <c r="LG111" s="25"/>
      <c r="LH111" s="25"/>
      <c r="LI111" s="25"/>
      <c r="LJ111" s="25"/>
      <c r="LK111" s="25"/>
      <c r="LL111" s="25"/>
      <c r="LM111" s="25"/>
      <c r="LN111" s="25"/>
      <c r="LO111" s="25"/>
      <c r="LP111" s="25"/>
      <c r="LQ111" s="25"/>
      <c r="LR111" s="25"/>
      <c r="LS111" s="25"/>
      <c r="LT111" s="25"/>
      <c r="LU111" s="25"/>
      <c r="LV111" s="25"/>
      <c r="LW111" s="25"/>
      <c r="LX111" s="25"/>
      <c r="LY111" s="25"/>
      <c r="LZ111" s="25"/>
      <c r="MA111" s="25"/>
      <c r="MB111" s="25"/>
      <c r="MC111" s="25"/>
      <c r="MD111" s="25"/>
      <c r="ME111" s="25"/>
      <c r="MF111" s="25"/>
      <c r="MG111" s="25"/>
      <c r="MH111" s="25"/>
      <c r="MI111" s="25"/>
      <c r="MJ111" s="25"/>
      <c r="MK111" s="25"/>
      <c r="ML111" s="25"/>
      <c r="MM111" s="25"/>
      <c r="MN111" s="25"/>
      <c r="MO111" s="25"/>
      <c r="MP111" s="25"/>
      <c r="MQ111" s="25"/>
      <c r="MR111" s="25"/>
      <c r="MS111" s="25"/>
      <c r="MT111" s="25"/>
      <c r="MU111" s="25"/>
      <c r="MV111" s="25"/>
      <c r="MW111" s="25"/>
      <c r="MX111" s="25"/>
      <c r="MY111" s="25"/>
      <c r="MZ111" s="25"/>
      <c r="NA111" s="25"/>
      <c r="NB111" s="25"/>
      <c r="NC111" s="25"/>
      <c r="ND111" s="25"/>
      <c r="NE111" s="25"/>
      <c r="NF111" s="25"/>
      <c r="NG111" s="25"/>
      <c r="NH111" s="25"/>
      <c r="NI111" s="25"/>
      <c r="NJ111" s="25"/>
      <c r="NK111" s="25"/>
      <c r="NL111" s="25"/>
      <c r="NM111" s="25"/>
      <c r="NN111" s="25"/>
      <c r="NO111" s="25"/>
      <c r="NP111" s="25"/>
      <c r="NQ111" s="25"/>
      <c r="NR111" s="25"/>
      <c r="NS111" s="25"/>
      <c r="NT111" s="25"/>
      <c r="NU111" s="25"/>
      <c r="NV111" s="25"/>
      <c r="NW111" s="25"/>
      <c r="NX111" s="25"/>
      <c r="NY111" s="25"/>
      <c r="NZ111" s="25"/>
      <c r="OA111" s="25"/>
      <c r="OB111" s="25"/>
      <c r="OC111" s="25"/>
      <c r="OD111" s="25"/>
      <c r="OE111" s="25"/>
      <c r="OF111" s="25"/>
      <c r="OG111" s="25"/>
      <c r="OH111" s="25"/>
      <c r="OI111" s="25"/>
      <c r="OJ111" s="25"/>
      <c r="OK111" s="25"/>
      <c r="OL111" s="25"/>
      <c r="OM111" s="25"/>
      <c r="ON111" s="25"/>
      <c r="OO111" s="25"/>
      <c r="OP111" s="25"/>
      <c r="OQ111" s="25"/>
      <c r="OR111" s="25"/>
      <c r="OS111" s="25"/>
      <c r="OT111" s="25"/>
      <c r="OU111" s="25"/>
      <c r="OV111" s="25"/>
      <c r="OW111" s="25"/>
      <c r="OX111" s="25"/>
      <c r="OY111" s="25"/>
      <c r="OZ111" s="25"/>
      <c r="PA111" s="25"/>
      <c r="PB111" s="25"/>
      <c r="PC111" s="25"/>
      <c r="PD111" s="25"/>
      <c r="PE111" s="25"/>
      <c r="PF111" s="25"/>
      <c r="PG111" s="25"/>
      <c r="PH111" s="25"/>
      <c r="PI111" s="25"/>
      <c r="PJ111" s="25"/>
      <c r="PK111" s="25"/>
      <c r="PL111" s="25"/>
      <c r="PM111" s="25"/>
      <c r="PN111" s="25"/>
      <c r="PO111" s="25"/>
      <c r="PP111" s="25"/>
      <c r="PQ111" s="25"/>
      <c r="PR111" s="25"/>
      <c r="PS111" s="25"/>
      <c r="PT111" s="25"/>
      <c r="PU111" s="25"/>
      <c r="PV111" s="25"/>
      <c r="PW111" s="25"/>
      <c r="PX111" s="25"/>
      <c r="PY111" s="25"/>
      <c r="PZ111" s="25"/>
      <c r="QA111" s="25"/>
      <c r="QB111" s="25"/>
      <c r="QC111" s="25"/>
      <c r="QD111" s="25"/>
      <c r="QE111" s="25"/>
      <c r="QF111" s="25"/>
      <c r="QG111" s="25"/>
      <c r="QH111" s="25"/>
      <c r="QI111" s="25"/>
      <c r="QJ111" s="25"/>
      <c r="QK111" s="25"/>
      <c r="QL111" s="25"/>
      <c r="QM111" s="25"/>
      <c r="QN111" s="25"/>
      <c r="QO111" s="25"/>
      <c r="QP111" s="25"/>
      <c r="QQ111" s="25"/>
      <c r="QR111" s="25"/>
      <c r="QS111" s="25"/>
      <c r="QT111" s="25"/>
      <c r="QU111" s="25"/>
      <c r="QV111" s="25"/>
      <c r="QW111" s="25"/>
      <c r="QX111" s="25"/>
      <c r="QY111" s="25"/>
      <c r="QZ111" s="25"/>
      <c r="RA111" s="25"/>
      <c r="RB111" s="25"/>
      <c r="RC111" s="25"/>
      <c r="RD111" s="25"/>
      <c r="RE111" s="25"/>
      <c r="RF111" s="25"/>
      <c r="RG111" s="25"/>
      <c r="RH111" s="25"/>
      <c r="RI111" s="25"/>
      <c r="RJ111" s="25"/>
      <c r="RK111" s="25"/>
      <c r="RL111" s="25"/>
      <c r="RM111" s="25"/>
      <c r="RN111" s="25"/>
      <c r="RO111" s="25"/>
      <c r="RP111" s="25"/>
      <c r="RQ111" s="25"/>
      <c r="RR111" s="25"/>
      <c r="RS111" s="25"/>
      <c r="RT111" s="25"/>
      <c r="RU111" s="25"/>
      <c r="RV111" s="25"/>
      <c r="RW111" s="25"/>
      <c r="RX111" s="25"/>
      <c r="RY111" s="25"/>
      <c r="RZ111" s="25"/>
      <c r="SA111" s="25"/>
      <c r="SB111" s="25"/>
      <c r="SC111" s="25"/>
      <c r="SD111" s="25"/>
      <c r="SE111" s="25"/>
      <c r="SF111" s="25"/>
      <c r="SG111" s="25"/>
      <c r="SH111" s="25"/>
      <c r="SI111" s="25"/>
      <c r="SJ111" s="25"/>
      <c r="SK111" s="25"/>
      <c r="SL111" s="25"/>
      <c r="SM111" s="25"/>
      <c r="SN111" s="25"/>
      <c r="SO111" s="25"/>
      <c r="SP111" s="25"/>
      <c r="SQ111" s="25"/>
      <c r="SR111" s="25"/>
      <c r="SS111" s="25"/>
      <c r="ST111" s="25"/>
      <c r="SU111" s="25"/>
      <c r="SV111" s="25"/>
      <c r="SW111" s="25"/>
      <c r="SX111" s="25"/>
      <c r="SY111" s="25"/>
      <c r="SZ111" s="25"/>
      <c r="TA111" s="25"/>
      <c r="TB111" s="25"/>
      <c r="TC111" s="25"/>
      <c r="TD111" s="25"/>
      <c r="TE111" s="25"/>
      <c r="TF111" s="25"/>
      <c r="TG111" s="25"/>
      <c r="TH111" s="25"/>
      <c r="TI111" s="25"/>
      <c r="TJ111" s="25"/>
      <c r="TK111" s="25"/>
      <c r="TL111" s="25"/>
      <c r="TM111" s="25"/>
      <c r="TN111" s="25"/>
      <c r="TO111" s="25"/>
      <c r="TP111" s="25"/>
      <c r="TQ111" s="25"/>
      <c r="TR111" s="25"/>
      <c r="TS111" s="25"/>
      <c r="TT111" s="25"/>
      <c r="TU111" s="25"/>
      <c r="TV111" s="25"/>
      <c r="TW111" s="25"/>
      <c r="TX111" s="25"/>
      <c r="TY111" s="25"/>
      <c r="TZ111" s="25"/>
      <c r="UA111" s="25"/>
      <c r="UB111" s="25"/>
      <c r="UC111" s="25"/>
      <c r="UD111" s="25"/>
      <c r="UE111" s="25"/>
      <c r="UF111" s="25"/>
      <c r="UG111" s="25"/>
      <c r="UH111" s="25"/>
      <c r="UI111" s="25"/>
      <c r="UJ111" s="25"/>
      <c r="UK111" s="25"/>
      <c r="UL111" s="25"/>
      <c r="UM111" s="25"/>
      <c r="UN111" s="25"/>
      <c r="UO111" s="25"/>
      <c r="UP111" s="25"/>
      <c r="UQ111" s="25"/>
      <c r="UR111" s="25"/>
      <c r="US111" s="25"/>
      <c r="UT111" s="25"/>
      <c r="UU111" s="25"/>
      <c r="UV111" s="25"/>
      <c r="UW111" s="25"/>
      <c r="UX111" s="25"/>
      <c r="UY111" s="25"/>
      <c r="UZ111" s="25"/>
      <c r="VA111" s="25"/>
      <c r="VB111" s="25"/>
      <c r="VC111" s="25"/>
      <c r="VD111" s="25"/>
      <c r="VE111" s="25"/>
      <c r="VF111" s="25"/>
      <c r="VG111" s="25"/>
      <c r="VH111" s="25"/>
      <c r="VI111" s="25"/>
      <c r="VJ111" s="25"/>
      <c r="VK111" s="25"/>
      <c r="VL111" s="25"/>
      <c r="VM111" s="25"/>
      <c r="VN111" s="25"/>
      <c r="VO111" s="25"/>
      <c r="VP111" s="25"/>
      <c r="VQ111" s="25"/>
      <c r="VR111" s="25"/>
      <c r="VS111" s="25"/>
      <c r="VT111" s="25"/>
      <c r="VU111" s="25"/>
      <c r="VV111" s="25"/>
      <c r="VW111" s="25"/>
      <c r="VX111" s="25"/>
      <c r="VY111" s="25"/>
      <c r="VZ111" s="25"/>
      <c r="WA111" s="25"/>
      <c r="WB111" s="25"/>
      <c r="WC111" s="25"/>
      <c r="WD111" s="25"/>
      <c r="WE111" s="25"/>
      <c r="WF111" s="25"/>
      <c r="WG111" s="25"/>
      <c r="WH111" s="25"/>
      <c r="WI111" s="25"/>
      <c r="WJ111" s="25"/>
      <c r="WK111" s="25"/>
      <c r="WL111" s="25"/>
      <c r="WM111" s="25"/>
      <c r="WN111" s="25"/>
      <c r="WO111" s="25"/>
      <c r="WP111" s="25"/>
      <c r="WQ111" s="25"/>
      <c r="WR111" s="25"/>
      <c r="WS111" s="25"/>
      <c r="WT111" s="25"/>
      <c r="WU111" s="25"/>
      <c r="WV111" s="25"/>
      <c r="WW111" s="25"/>
      <c r="WX111" s="25"/>
      <c r="WY111" s="25"/>
      <c r="WZ111" s="25"/>
      <c r="XA111" s="25"/>
    </row>
    <row r="112" spans="1:625" x14ac:dyDescent="0.3">
      <c r="A112" s="46"/>
      <c r="B112" s="3" t="s">
        <v>222</v>
      </c>
      <c r="C112" s="25"/>
      <c r="D112" s="59"/>
      <c r="E112" s="41"/>
      <c r="F112" s="42"/>
      <c r="G112" s="61"/>
      <c r="H112" s="42"/>
      <c r="I112" s="16">
        <f>SUM(I93:I111)</f>
        <v>49759.562879999998</v>
      </c>
      <c r="J112" s="17">
        <f>SUM(J93:J111)</f>
        <v>66965.255829999995</v>
      </c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  <c r="GK112" s="36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  <c r="HF112" s="36"/>
      <c r="HG112" s="36"/>
      <c r="HH112" s="36"/>
      <c r="HI112" s="36"/>
      <c r="HJ112" s="36"/>
      <c r="HK112" s="36"/>
      <c r="HL112" s="36"/>
      <c r="HM112" s="36"/>
      <c r="HN112" s="36"/>
      <c r="HO112" s="36"/>
      <c r="HP112" s="36"/>
      <c r="HQ112" s="36"/>
      <c r="HR112" s="36"/>
      <c r="HS112" s="36"/>
      <c r="HT112" s="36"/>
      <c r="HU112" s="36"/>
      <c r="HV112" s="36"/>
      <c r="HW112" s="36"/>
      <c r="HX112" s="36"/>
      <c r="HY112" s="36"/>
      <c r="HZ112" s="36"/>
      <c r="IA112" s="36"/>
      <c r="IB112" s="36"/>
      <c r="IC112" s="36"/>
      <c r="ID112" s="36"/>
      <c r="IE112" s="36"/>
      <c r="IF112" s="36"/>
      <c r="IG112" s="36"/>
      <c r="IH112" s="36"/>
      <c r="II112" s="36"/>
      <c r="IJ112" s="36"/>
      <c r="IK112" s="36"/>
      <c r="IL112" s="36"/>
      <c r="IM112" s="36"/>
      <c r="IN112" s="36"/>
      <c r="IO112" s="36"/>
      <c r="IP112" s="36"/>
      <c r="IQ112" s="36"/>
      <c r="IR112" s="36"/>
      <c r="IS112" s="36"/>
      <c r="IT112" s="36"/>
      <c r="IU112" s="36"/>
      <c r="IV112" s="36"/>
      <c r="IW112" s="36"/>
      <c r="IX112" s="36"/>
      <c r="IY112" s="36"/>
      <c r="IZ112" s="36"/>
      <c r="JA112" s="36"/>
      <c r="JB112" s="36"/>
      <c r="JC112" s="36"/>
      <c r="JD112" s="36"/>
      <c r="JE112" s="36"/>
      <c r="JF112" s="36"/>
      <c r="JG112" s="36"/>
      <c r="JH112" s="36"/>
      <c r="JI112" s="36"/>
      <c r="JJ112" s="36"/>
      <c r="JK112" s="36"/>
      <c r="JL112" s="36"/>
      <c r="JM112" s="36"/>
      <c r="JN112" s="36"/>
      <c r="JO112" s="36"/>
      <c r="JP112" s="36"/>
      <c r="JQ112" s="36"/>
      <c r="JR112" s="36"/>
      <c r="JS112" s="36"/>
      <c r="JT112" s="36"/>
      <c r="JU112" s="36"/>
      <c r="JV112" s="36"/>
      <c r="JW112" s="36"/>
      <c r="JX112" s="36"/>
      <c r="JY112" s="36"/>
      <c r="JZ112" s="36"/>
      <c r="KA112" s="36"/>
      <c r="KB112" s="36"/>
      <c r="KC112" s="36"/>
      <c r="KD112" s="36"/>
      <c r="KE112" s="36"/>
      <c r="KF112" s="36"/>
      <c r="KG112" s="36"/>
      <c r="KH112" s="36"/>
      <c r="KI112" s="36"/>
      <c r="KJ112" s="36"/>
      <c r="KK112" s="36"/>
      <c r="KL112" s="36"/>
      <c r="KM112" s="36"/>
      <c r="KN112" s="36"/>
      <c r="KO112" s="36"/>
      <c r="KP112" s="36"/>
      <c r="KQ112" s="36"/>
      <c r="KR112" s="36"/>
      <c r="KS112" s="36"/>
      <c r="KT112" s="36"/>
      <c r="KU112" s="36"/>
      <c r="KV112" s="36"/>
      <c r="KW112" s="36"/>
      <c r="KX112" s="36"/>
      <c r="KY112" s="36"/>
      <c r="KZ112" s="36"/>
      <c r="LA112" s="36"/>
      <c r="LB112" s="36"/>
      <c r="LC112" s="36"/>
      <c r="LD112" s="36"/>
      <c r="LE112" s="36"/>
      <c r="LF112" s="36"/>
      <c r="LG112" s="36"/>
      <c r="LH112" s="36"/>
      <c r="LI112" s="36"/>
      <c r="LJ112" s="36"/>
      <c r="LK112" s="36"/>
      <c r="LL112" s="36"/>
      <c r="LM112" s="36"/>
      <c r="LN112" s="36"/>
      <c r="LO112" s="36"/>
      <c r="LP112" s="36"/>
      <c r="LQ112" s="36"/>
      <c r="LR112" s="36"/>
      <c r="LS112" s="36"/>
      <c r="LT112" s="36"/>
      <c r="LU112" s="36"/>
      <c r="LV112" s="36"/>
      <c r="LW112" s="36"/>
      <c r="LX112" s="36"/>
      <c r="LY112" s="36"/>
      <c r="LZ112" s="36"/>
      <c r="MA112" s="36"/>
      <c r="MB112" s="36"/>
      <c r="MC112" s="36"/>
      <c r="MD112" s="36"/>
      <c r="ME112" s="36"/>
      <c r="MF112" s="36"/>
      <c r="MG112" s="36"/>
      <c r="MH112" s="36"/>
      <c r="MI112" s="36"/>
      <c r="MJ112" s="36"/>
      <c r="MK112" s="36"/>
      <c r="ML112" s="36"/>
      <c r="MM112" s="36"/>
      <c r="MN112" s="36"/>
      <c r="MO112" s="36"/>
      <c r="MP112" s="36"/>
      <c r="MQ112" s="36"/>
      <c r="MR112" s="36"/>
      <c r="MS112" s="36"/>
      <c r="MT112" s="36"/>
      <c r="MU112" s="36"/>
      <c r="MV112" s="36"/>
      <c r="MW112" s="36"/>
      <c r="MX112" s="36"/>
      <c r="MY112" s="36"/>
      <c r="MZ112" s="36"/>
      <c r="NA112" s="36"/>
      <c r="NB112" s="36"/>
      <c r="NC112" s="36"/>
      <c r="ND112" s="36"/>
      <c r="NE112" s="36"/>
      <c r="NF112" s="36"/>
      <c r="NG112" s="36"/>
      <c r="NH112" s="36"/>
      <c r="NI112" s="36"/>
      <c r="NJ112" s="36"/>
      <c r="NK112" s="36"/>
      <c r="NL112" s="36"/>
      <c r="NM112" s="36"/>
      <c r="NN112" s="36"/>
      <c r="NO112" s="36"/>
      <c r="NP112" s="36"/>
      <c r="NQ112" s="36"/>
      <c r="NR112" s="36"/>
      <c r="NS112" s="36"/>
      <c r="NT112" s="36"/>
      <c r="NU112" s="36"/>
      <c r="NV112" s="36"/>
      <c r="NW112" s="36"/>
      <c r="NX112" s="36"/>
      <c r="NY112" s="36"/>
      <c r="NZ112" s="36"/>
      <c r="OA112" s="36"/>
      <c r="OB112" s="36"/>
      <c r="OC112" s="36"/>
      <c r="OD112" s="36"/>
      <c r="OE112" s="36"/>
      <c r="OF112" s="36"/>
      <c r="OG112" s="36"/>
      <c r="OH112" s="36"/>
      <c r="OI112" s="36"/>
      <c r="OJ112" s="36"/>
      <c r="OK112" s="36"/>
      <c r="OL112" s="36"/>
      <c r="OM112" s="36"/>
      <c r="ON112" s="36"/>
      <c r="OO112" s="36"/>
      <c r="OP112" s="36"/>
      <c r="OQ112" s="36"/>
      <c r="OR112" s="36"/>
      <c r="OS112" s="36"/>
      <c r="OT112" s="36"/>
      <c r="OU112" s="36"/>
      <c r="OV112" s="36"/>
      <c r="OW112" s="36"/>
      <c r="OX112" s="36"/>
      <c r="OY112" s="36"/>
      <c r="OZ112" s="36"/>
      <c r="PA112" s="36"/>
      <c r="PB112" s="36"/>
      <c r="PC112" s="36"/>
      <c r="PD112" s="36"/>
      <c r="PE112" s="36"/>
      <c r="PF112" s="36"/>
      <c r="PG112" s="36"/>
      <c r="PH112" s="36"/>
      <c r="PI112" s="36"/>
      <c r="PJ112" s="36"/>
      <c r="PK112" s="36"/>
      <c r="PL112" s="36"/>
      <c r="PM112" s="36"/>
      <c r="PN112" s="36"/>
      <c r="PO112" s="36"/>
      <c r="PP112" s="36"/>
      <c r="PQ112" s="36"/>
      <c r="PR112" s="36"/>
      <c r="PS112" s="36"/>
      <c r="PT112" s="36"/>
      <c r="PU112" s="36"/>
      <c r="PV112" s="36"/>
      <c r="PW112" s="36"/>
      <c r="PX112" s="36"/>
      <c r="PY112" s="36"/>
      <c r="PZ112" s="36"/>
      <c r="QA112" s="36"/>
      <c r="QB112" s="36"/>
      <c r="QC112" s="36"/>
      <c r="QD112" s="36"/>
      <c r="QE112" s="36"/>
      <c r="QF112" s="36"/>
      <c r="QG112" s="36"/>
      <c r="QH112" s="36"/>
      <c r="QI112" s="36"/>
      <c r="QJ112" s="36"/>
      <c r="QK112" s="36"/>
      <c r="QL112" s="36"/>
      <c r="QM112" s="36"/>
      <c r="QN112" s="36"/>
      <c r="QO112" s="36"/>
      <c r="QP112" s="36"/>
      <c r="QQ112" s="36"/>
      <c r="QR112" s="36"/>
      <c r="QS112" s="36"/>
      <c r="QT112" s="36"/>
      <c r="QU112" s="36"/>
      <c r="QV112" s="36"/>
      <c r="QW112" s="36"/>
      <c r="QX112" s="36"/>
      <c r="QY112" s="36"/>
      <c r="QZ112" s="36"/>
      <c r="RA112" s="36"/>
      <c r="RB112" s="36"/>
      <c r="RC112" s="36"/>
      <c r="RD112" s="36"/>
      <c r="RE112" s="36"/>
      <c r="RF112" s="36"/>
      <c r="RG112" s="36"/>
      <c r="RH112" s="36"/>
      <c r="RI112" s="36"/>
      <c r="RJ112" s="36"/>
      <c r="RK112" s="36"/>
      <c r="RL112" s="36"/>
      <c r="RM112" s="36"/>
      <c r="RN112" s="36"/>
      <c r="RO112" s="36"/>
      <c r="RP112" s="36"/>
      <c r="RQ112" s="36"/>
      <c r="RR112" s="36"/>
      <c r="RS112" s="36"/>
      <c r="RT112" s="36"/>
      <c r="RU112" s="36"/>
      <c r="RV112" s="36"/>
      <c r="RW112" s="36"/>
      <c r="RX112" s="36"/>
      <c r="RY112" s="36"/>
      <c r="RZ112" s="36"/>
      <c r="SA112" s="36"/>
      <c r="SB112" s="36"/>
      <c r="SC112" s="36"/>
      <c r="SD112" s="36"/>
      <c r="SE112" s="36"/>
      <c r="SF112" s="36"/>
      <c r="SG112" s="36"/>
      <c r="SH112" s="36"/>
      <c r="SI112" s="36"/>
      <c r="SJ112" s="36"/>
      <c r="SK112" s="36"/>
      <c r="SL112" s="36"/>
      <c r="SM112" s="36"/>
      <c r="SN112" s="36"/>
      <c r="SO112" s="36"/>
      <c r="SP112" s="36"/>
      <c r="SQ112" s="36"/>
      <c r="SR112" s="36"/>
      <c r="SS112" s="36"/>
      <c r="ST112" s="36"/>
      <c r="SU112" s="36"/>
      <c r="SV112" s="36"/>
      <c r="SW112" s="36"/>
      <c r="SX112" s="36"/>
      <c r="SY112" s="36"/>
      <c r="SZ112" s="36"/>
      <c r="TA112" s="36"/>
      <c r="TB112" s="36"/>
      <c r="TC112" s="36"/>
      <c r="TD112" s="36"/>
      <c r="TE112" s="36"/>
      <c r="TF112" s="36"/>
      <c r="TG112" s="36"/>
      <c r="TH112" s="36"/>
      <c r="TI112" s="36"/>
      <c r="TJ112" s="36"/>
      <c r="TK112" s="36"/>
      <c r="TL112" s="36"/>
      <c r="TM112" s="36"/>
      <c r="TN112" s="36"/>
      <c r="TO112" s="36"/>
      <c r="TP112" s="36"/>
      <c r="TQ112" s="36"/>
      <c r="TR112" s="36"/>
      <c r="TS112" s="36"/>
      <c r="TT112" s="36"/>
      <c r="TU112" s="36"/>
      <c r="TV112" s="36"/>
      <c r="TW112" s="36"/>
      <c r="TX112" s="36"/>
      <c r="TY112" s="36"/>
      <c r="TZ112" s="36"/>
      <c r="UA112" s="36"/>
      <c r="UB112" s="36"/>
      <c r="UC112" s="36"/>
      <c r="UD112" s="36"/>
      <c r="UE112" s="36"/>
      <c r="UF112" s="36"/>
      <c r="UG112" s="36"/>
      <c r="UH112" s="36"/>
      <c r="UI112" s="36"/>
      <c r="UJ112" s="36"/>
      <c r="UK112" s="36"/>
      <c r="UL112" s="36"/>
      <c r="UM112" s="36"/>
      <c r="UN112" s="36"/>
      <c r="UO112" s="36"/>
      <c r="UP112" s="36"/>
      <c r="UQ112" s="36"/>
      <c r="UR112" s="36"/>
      <c r="US112" s="36"/>
      <c r="UT112" s="36"/>
      <c r="UU112" s="36"/>
      <c r="UV112" s="36"/>
      <c r="UW112" s="36"/>
      <c r="UX112" s="36"/>
      <c r="UY112" s="36"/>
      <c r="UZ112" s="36"/>
      <c r="VA112" s="36"/>
      <c r="VB112" s="36"/>
      <c r="VC112" s="36"/>
      <c r="VD112" s="36"/>
      <c r="VE112" s="36"/>
      <c r="VF112" s="36"/>
      <c r="VG112" s="36"/>
      <c r="VH112" s="36"/>
      <c r="VI112" s="36"/>
      <c r="VJ112" s="36"/>
      <c r="VK112" s="36"/>
      <c r="VL112" s="36"/>
      <c r="VM112" s="36"/>
      <c r="VN112" s="36"/>
      <c r="VO112" s="36"/>
      <c r="VP112" s="36"/>
      <c r="VQ112" s="36"/>
      <c r="VR112" s="36"/>
      <c r="VS112" s="36"/>
      <c r="VT112" s="36"/>
      <c r="VU112" s="36"/>
      <c r="VV112" s="36"/>
      <c r="VW112" s="36"/>
      <c r="VX112" s="36"/>
      <c r="VY112" s="36"/>
      <c r="VZ112" s="36"/>
      <c r="WA112" s="36"/>
      <c r="WB112" s="36"/>
      <c r="WC112" s="36"/>
      <c r="WD112" s="36"/>
      <c r="WE112" s="36"/>
      <c r="WF112" s="36"/>
      <c r="WG112" s="36"/>
      <c r="WH112" s="36"/>
      <c r="WI112" s="36"/>
      <c r="WJ112" s="36"/>
      <c r="WK112" s="36"/>
      <c r="WL112" s="36"/>
      <c r="WM112" s="36"/>
      <c r="WN112" s="36"/>
      <c r="WO112" s="36"/>
      <c r="WP112" s="36"/>
      <c r="WQ112" s="36"/>
      <c r="WR112" s="36"/>
      <c r="WS112" s="36"/>
      <c r="WT112" s="36"/>
      <c r="WU112" s="36"/>
      <c r="WV112" s="36"/>
      <c r="WW112" s="36"/>
      <c r="WX112" s="36"/>
      <c r="WY112" s="36"/>
      <c r="WZ112" s="36"/>
      <c r="XA112" s="36"/>
    </row>
    <row r="113" spans="1:11" x14ac:dyDescent="0.3">
      <c r="A113" s="46"/>
      <c r="B113" s="3"/>
      <c r="C113" s="25"/>
      <c r="D113" s="59"/>
      <c r="E113" s="41"/>
      <c r="F113" s="42"/>
      <c r="G113" s="61"/>
      <c r="H113" s="42"/>
      <c r="I113" s="44"/>
      <c r="J113" s="45"/>
      <c r="K113" s="34"/>
    </row>
    <row r="114" spans="1:11" x14ac:dyDescent="0.3">
      <c r="A114" s="2">
        <v>10</v>
      </c>
      <c r="B114" s="1" t="s">
        <v>179</v>
      </c>
      <c r="C114" s="25"/>
      <c r="D114" s="59"/>
      <c r="E114" s="41">
        <v>0.1</v>
      </c>
      <c r="F114" s="42"/>
      <c r="G114" s="60">
        <v>0.1</v>
      </c>
      <c r="H114" s="42"/>
      <c r="I114" s="44">
        <f>I112*G114</f>
        <v>4975.9562880000003</v>
      </c>
      <c r="J114" s="45">
        <f>J112*G114</f>
        <v>6696.5255829999996</v>
      </c>
      <c r="K114" s="34"/>
    </row>
    <row r="115" spans="1:11" x14ac:dyDescent="0.3">
      <c r="A115" s="2"/>
      <c r="B115" s="3" t="s">
        <v>231</v>
      </c>
      <c r="C115" s="25"/>
      <c r="D115" s="59"/>
      <c r="E115" s="41"/>
      <c r="F115" s="42"/>
      <c r="G115" s="62"/>
      <c r="H115" s="42"/>
      <c r="I115" s="16">
        <f>SUM(I112:I114)</f>
        <v>54735.519167999999</v>
      </c>
      <c r="J115" s="17">
        <f>SUM(J112:J114)</f>
        <v>73661.78141299999</v>
      </c>
      <c r="K115" s="34"/>
    </row>
    <row r="116" spans="1:11" x14ac:dyDescent="0.3">
      <c r="A116" s="46"/>
      <c r="B116" s="3"/>
      <c r="C116" s="25"/>
      <c r="D116" s="59"/>
      <c r="E116" s="41"/>
      <c r="F116" s="42"/>
      <c r="G116" s="62"/>
      <c r="H116" s="42"/>
      <c r="I116" s="44"/>
      <c r="J116" s="45"/>
      <c r="K116" s="36"/>
    </row>
    <row r="117" spans="1:11" x14ac:dyDescent="0.3">
      <c r="A117" s="2">
        <v>11</v>
      </c>
      <c r="B117" s="1" t="s">
        <v>181</v>
      </c>
      <c r="C117" s="25" t="s">
        <v>182</v>
      </c>
      <c r="D117" s="43">
        <v>2</v>
      </c>
      <c r="E117" s="41">
        <v>3.5000000000000003E-2</v>
      </c>
      <c r="F117" s="42"/>
      <c r="G117" s="63">
        <v>3.5000000000000003E-2</v>
      </c>
      <c r="H117" s="42"/>
      <c r="I117" s="44">
        <f>I115*G117*D117</f>
        <v>3831.4863417600004</v>
      </c>
      <c r="J117" s="45">
        <f>J115*E117*D117</f>
        <v>5156.3246989099998</v>
      </c>
      <c r="K117" s="34"/>
    </row>
    <row r="118" spans="1:11" x14ac:dyDescent="0.3">
      <c r="A118" s="46"/>
      <c r="B118" s="2"/>
      <c r="C118" s="25"/>
      <c r="D118" s="21"/>
      <c r="E118" s="41"/>
      <c r="F118" s="42"/>
      <c r="G118" s="10"/>
      <c r="H118" s="42"/>
      <c r="I118" s="16"/>
      <c r="J118" s="17"/>
      <c r="K118" s="34"/>
    </row>
    <row r="119" spans="1:11" x14ac:dyDescent="0.3">
      <c r="A119" s="46"/>
      <c r="B119" s="3" t="s">
        <v>232</v>
      </c>
      <c r="C119" s="25"/>
      <c r="D119" s="21"/>
      <c r="E119" s="41"/>
      <c r="F119" s="42"/>
      <c r="G119" s="10"/>
      <c r="H119" s="42"/>
      <c r="I119" s="18">
        <f>SUM(I115:I117)</f>
        <v>58567.005509759998</v>
      </c>
      <c r="J119" s="18">
        <f>SUM(J115:J117)</f>
        <v>78818.10611190999</v>
      </c>
      <c r="K119" s="34"/>
    </row>
    <row r="120" spans="1:11" x14ac:dyDescent="0.3">
      <c r="A120" s="46"/>
      <c r="B120" s="3"/>
      <c r="C120" s="25"/>
      <c r="D120" s="21"/>
      <c r="E120" s="41"/>
      <c r="F120" s="42"/>
      <c r="G120" s="11"/>
      <c r="H120" s="42"/>
      <c r="I120" s="16"/>
      <c r="J120" s="17"/>
      <c r="K120" s="34"/>
    </row>
    <row r="121" spans="1:11" x14ac:dyDescent="0.3">
      <c r="A121" s="25"/>
      <c r="B121" s="3" t="s">
        <v>233</v>
      </c>
      <c r="C121" s="25"/>
      <c r="E121" s="41"/>
      <c r="F121" s="42"/>
      <c r="G121" s="10"/>
      <c r="H121" s="42"/>
      <c r="I121" s="19">
        <f>SUM(I90,I119)</f>
        <v>421370.22913604346</v>
      </c>
      <c r="J121" s="19">
        <f>SUM(J90,J119)</f>
        <v>470365.36417526763</v>
      </c>
      <c r="K121" s="34"/>
    </row>
  </sheetData>
  <pageMargins left="0.7" right="0.7" top="0.75" bottom="0.75" header="0.3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7"/>
  <sheetViews>
    <sheetView zoomScale="70" zoomScaleNormal="70" workbookViewId="0">
      <selection activeCell="L27" sqref="L27"/>
    </sheetView>
  </sheetViews>
  <sheetFormatPr defaultRowHeight="12.45" x14ac:dyDescent="0.3"/>
  <cols>
    <col min="1" max="1" width="25.15234375" bestFit="1" customWidth="1"/>
    <col min="2" max="2" width="19.15234375" customWidth="1"/>
    <col min="3" max="3" width="18.23046875" customWidth="1"/>
    <col min="4" max="4" width="41.15234375" style="27" customWidth="1"/>
    <col min="6" max="6" width="12.61328125" bestFit="1" customWidth="1"/>
    <col min="7" max="7" width="14.61328125" bestFit="1" customWidth="1"/>
    <col min="9" max="9" width="12.3828125" bestFit="1" customWidth="1"/>
    <col min="11" max="11" width="12.3828125" bestFit="1" customWidth="1"/>
  </cols>
  <sheetData>
    <row r="1" spans="1:19" x14ac:dyDescent="0.3">
      <c r="A1" s="31" t="s">
        <v>280</v>
      </c>
      <c r="B1" s="29" t="s">
        <v>1</v>
      </c>
      <c r="C1" s="30" t="s">
        <v>2</v>
      </c>
    </row>
    <row r="2" spans="1:19" x14ac:dyDescent="0.3">
      <c r="A2" s="71" t="s">
        <v>281</v>
      </c>
      <c r="B2" s="70">
        <f>'FINAL Stacks 3 4 5'!I$137</f>
        <v>421370.22913604346</v>
      </c>
      <c r="C2" s="70">
        <f>'FINAL Stacks 3 4 5'!J$137</f>
        <v>508330.59857048473</v>
      </c>
    </row>
    <row r="3" spans="1:19" x14ac:dyDescent="0.3">
      <c r="A3" s="68" t="s">
        <v>282</v>
      </c>
      <c r="B3" s="69">
        <f>'Stacks 5 6 7'!I121</f>
        <v>421370.22913604346</v>
      </c>
      <c r="C3" s="69">
        <f>'Stacks 5 6 7'!J121</f>
        <v>500222.70253682707</v>
      </c>
      <c r="D3" s="28"/>
    </row>
    <row r="4" spans="1:19" x14ac:dyDescent="0.3">
      <c r="A4" s="68" t="s">
        <v>283</v>
      </c>
      <c r="B4" s="69">
        <f>'Stacks 7 8 9'!I$121</f>
        <v>421370.22913604346</v>
      </c>
      <c r="C4" s="69">
        <f>'Stacks 7 8 9'!J$121</f>
        <v>470365.36417526763</v>
      </c>
    </row>
    <row r="6" spans="1:19" x14ac:dyDescent="0.3">
      <c r="A6" s="40"/>
      <c r="B6" s="40"/>
      <c r="D6"/>
    </row>
    <row r="7" spans="1:19" x14ac:dyDescent="0.3">
      <c r="A7" s="40"/>
      <c r="B7" s="40"/>
      <c r="D7"/>
    </row>
    <row r="8" spans="1:19" x14ac:dyDescent="0.3">
      <c r="A8" s="40"/>
      <c r="B8" s="40"/>
      <c r="D8" s="138" t="s">
        <v>284</v>
      </c>
      <c r="E8" s="138"/>
      <c r="F8" s="138"/>
      <c r="G8" s="138"/>
      <c r="H8" s="138"/>
      <c r="I8" s="138"/>
      <c r="J8" s="138"/>
      <c r="K8" s="138"/>
      <c r="L8" s="138"/>
      <c r="M8" s="138"/>
      <c r="N8" s="138"/>
    </row>
    <row r="9" spans="1:19" ht="14.6" x14ac:dyDescent="0.4">
      <c r="A9" t="s">
        <v>285</v>
      </c>
      <c r="B9" t="s">
        <v>286</v>
      </c>
      <c r="C9" t="s">
        <v>287</v>
      </c>
      <c r="D9" s="66">
        <v>1</v>
      </c>
      <c r="E9" s="66" t="s">
        <v>288</v>
      </c>
      <c r="F9" s="66" t="s">
        <v>289</v>
      </c>
      <c r="G9" s="67" t="s">
        <v>290</v>
      </c>
      <c r="H9" s="66" t="s">
        <v>291</v>
      </c>
      <c r="I9" s="67" t="s">
        <v>292</v>
      </c>
      <c r="J9" s="66" t="s">
        <v>293</v>
      </c>
      <c r="K9" s="67" t="s">
        <v>294</v>
      </c>
      <c r="L9" s="66" t="s">
        <v>295</v>
      </c>
      <c r="M9" s="66" t="s">
        <v>296</v>
      </c>
      <c r="N9" s="66">
        <v>10</v>
      </c>
      <c r="O9" t="s">
        <v>297</v>
      </c>
      <c r="P9" t="s">
        <v>298</v>
      </c>
      <c r="R9" t="s">
        <v>299</v>
      </c>
      <c r="S9" t="s">
        <v>300</v>
      </c>
    </row>
    <row r="10" spans="1:19" ht="14.6" x14ac:dyDescent="0.4">
      <c r="A10" s="64">
        <v>1</v>
      </c>
      <c r="B10" s="92">
        <v>6665</v>
      </c>
      <c r="C10" s="64">
        <v>6672</v>
      </c>
      <c r="D10" s="66">
        <f>$B10</f>
        <v>6665</v>
      </c>
      <c r="E10" s="66">
        <f>$B10</f>
        <v>6665</v>
      </c>
      <c r="F10" s="66"/>
      <c r="G10" s="67"/>
      <c r="H10" s="66"/>
      <c r="I10" s="67"/>
      <c r="J10" s="66"/>
      <c r="K10" s="67"/>
      <c r="L10" s="66"/>
      <c r="M10" s="66"/>
      <c r="N10" s="66"/>
      <c r="O10" s="64">
        <v>13686</v>
      </c>
      <c r="P10" s="65">
        <v>13686</v>
      </c>
      <c r="R10" s="64">
        <f t="shared" ref="R10:S17" si="0">O10/2</f>
        <v>6843</v>
      </c>
      <c r="S10" s="65">
        <f t="shared" si="0"/>
        <v>6843</v>
      </c>
    </row>
    <row r="11" spans="1:19" ht="14.6" x14ac:dyDescent="0.4">
      <c r="A11" s="64">
        <v>2</v>
      </c>
      <c r="B11" s="64">
        <v>11439</v>
      </c>
      <c r="C11" s="92">
        <v>11418</v>
      </c>
      <c r="D11" s="66"/>
      <c r="E11" s="66">
        <f>$B11</f>
        <v>11439</v>
      </c>
      <c r="F11" s="66">
        <f>$B11</f>
        <v>11439</v>
      </c>
      <c r="G11" s="67"/>
      <c r="H11" s="66"/>
      <c r="I11" s="67"/>
      <c r="J11" s="66"/>
      <c r="K11" s="67"/>
      <c r="L11" s="66"/>
      <c r="M11" s="66"/>
      <c r="N11" s="66"/>
      <c r="O11" s="64">
        <v>11896</v>
      </c>
      <c r="P11">
        <v>9487</v>
      </c>
      <c r="R11" s="64">
        <f t="shared" si="0"/>
        <v>5948</v>
      </c>
      <c r="S11">
        <f t="shared" si="0"/>
        <v>4743.5</v>
      </c>
    </row>
    <row r="12" spans="1:19" ht="14.6" x14ac:dyDescent="0.4">
      <c r="A12" s="64">
        <v>3</v>
      </c>
      <c r="B12" s="64">
        <v>14724</v>
      </c>
      <c r="C12" s="65">
        <v>14724</v>
      </c>
      <c r="D12" s="66"/>
      <c r="E12" s="66"/>
      <c r="F12" s="66">
        <f>$B12</f>
        <v>14724</v>
      </c>
      <c r="G12" s="67">
        <f>$B12</f>
        <v>14724</v>
      </c>
      <c r="H12" s="66"/>
      <c r="I12" s="67"/>
      <c r="J12" s="66"/>
      <c r="K12" s="67"/>
      <c r="L12" s="66"/>
      <c r="M12" s="66"/>
      <c r="N12" s="66"/>
      <c r="O12">
        <v>12669</v>
      </c>
      <c r="P12" s="64">
        <v>14891</v>
      </c>
      <c r="R12">
        <f t="shared" si="0"/>
        <v>6334.5</v>
      </c>
      <c r="S12" s="64">
        <f t="shared" si="0"/>
        <v>7445.5</v>
      </c>
    </row>
    <row r="13" spans="1:19" ht="14.6" x14ac:dyDescent="0.4">
      <c r="A13" s="64">
        <v>4</v>
      </c>
      <c r="B13" s="64">
        <v>8815</v>
      </c>
      <c r="C13" s="64">
        <v>8815</v>
      </c>
      <c r="D13" s="66"/>
      <c r="E13" s="66"/>
      <c r="F13" s="66"/>
      <c r="G13" s="67">
        <f>$B13</f>
        <v>8815</v>
      </c>
      <c r="H13" s="66">
        <f>$B13</f>
        <v>8815</v>
      </c>
      <c r="I13" s="67"/>
      <c r="J13" s="66"/>
      <c r="K13" s="67"/>
      <c r="L13" s="66"/>
      <c r="M13" s="66"/>
      <c r="N13" s="66"/>
      <c r="O13" s="64">
        <v>8514</v>
      </c>
      <c r="P13">
        <v>5095</v>
      </c>
      <c r="R13" s="64">
        <f t="shared" si="0"/>
        <v>4257</v>
      </c>
      <c r="S13">
        <f t="shared" si="0"/>
        <v>2547.5</v>
      </c>
    </row>
    <row r="14" spans="1:19" ht="14.6" x14ac:dyDescent="0.4">
      <c r="A14" s="64">
        <v>5</v>
      </c>
      <c r="B14" s="64">
        <v>13053</v>
      </c>
      <c r="C14" s="64">
        <v>13053</v>
      </c>
      <c r="D14" s="66"/>
      <c r="E14" s="66"/>
      <c r="F14" s="66"/>
      <c r="G14" s="67">
        <f>$B14</f>
        <v>13053</v>
      </c>
      <c r="H14" s="66">
        <f>$B14</f>
        <v>13053</v>
      </c>
      <c r="I14" s="67">
        <f>$B14</f>
        <v>13053</v>
      </c>
      <c r="J14" s="66"/>
      <c r="K14" s="67"/>
      <c r="L14" s="66"/>
      <c r="M14" s="66"/>
      <c r="N14" s="66"/>
      <c r="O14">
        <v>10952</v>
      </c>
      <c r="P14" s="64">
        <v>13094</v>
      </c>
      <c r="R14">
        <f t="shared" si="0"/>
        <v>5476</v>
      </c>
      <c r="S14" s="64">
        <f t="shared" si="0"/>
        <v>6547</v>
      </c>
    </row>
    <row r="15" spans="1:19" ht="14.6" x14ac:dyDescent="0.4">
      <c r="A15" s="64">
        <v>6</v>
      </c>
      <c r="B15" s="64">
        <v>8577</v>
      </c>
      <c r="C15" s="64">
        <v>8577</v>
      </c>
      <c r="D15" s="66"/>
      <c r="E15" s="66"/>
      <c r="F15" s="66"/>
      <c r="G15" s="67"/>
      <c r="H15" s="66">
        <f>$B15</f>
        <v>8577</v>
      </c>
      <c r="I15" s="67">
        <f>$B15</f>
        <v>8577</v>
      </c>
      <c r="J15" s="66">
        <f>$B15</f>
        <v>8577</v>
      </c>
      <c r="K15" s="67"/>
      <c r="L15" s="66"/>
      <c r="M15" s="66"/>
      <c r="N15" s="66"/>
      <c r="O15" s="64">
        <v>9756</v>
      </c>
      <c r="P15">
        <v>7993</v>
      </c>
      <c r="R15" s="64">
        <f t="shared" si="0"/>
        <v>4878</v>
      </c>
      <c r="S15">
        <f t="shared" si="0"/>
        <v>3996.5</v>
      </c>
    </row>
    <row r="16" spans="1:19" ht="14.6" x14ac:dyDescent="0.4">
      <c r="A16" s="64">
        <v>7</v>
      </c>
      <c r="B16" s="64">
        <v>15498</v>
      </c>
      <c r="C16" s="64">
        <v>15498</v>
      </c>
      <c r="D16" s="66"/>
      <c r="E16" s="66"/>
      <c r="F16" s="66"/>
      <c r="G16" s="67"/>
      <c r="H16" s="66"/>
      <c r="I16" s="67">
        <f>$B16</f>
        <v>15498</v>
      </c>
      <c r="J16" s="66">
        <f>$B16</f>
        <v>15498</v>
      </c>
      <c r="K16" s="67">
        <f>$B16</f>
        <v>15498</v>
      </c>
      <c r="L16" s="66"/>
      <c r="M16" s="66"/>
      <c r="N16" s="66"/>
      <c r="O16">
        <v>15702</v>
      </c>
      <c r="P16" s="64">
        <v>16612</v>
      </c>
      <c r="R16">
        <f t="shared" si="0"/>
        <v>7851</v>
      </c>
      <c r="S16" s="64">
        <f t="shared" si="0"/>
        <v>8306</v>
      </c>
    </row>
    <row r="17" spans="1:26" ht="14.6" x14ac:dyDescent="0.4">
      <c r="A17" s="64">
        <v>8</v>
      </c>
      <c r="B17" s="64">
        <v>5425</v>
      </c>
      <c r="C17" s="64">
        <v>5425</v>
      </c>
      <c r="D17" s="66"/>
      <c r="E17" s="66"/>
      <c r="F17" s="66"/>
      <c r="G17" s="67"/>
      <c r="H17" s="66"/>
      <c r="I17" s="67"/>
      <c r="J17" s="66"/>
      <c r="K17" s="67">
        <f>$B17</f>
        <v>5425</v>
      </c>
      <c r="L17" s="66">
        <f>$B17</f>
        <v>5425</v>
      </c>
      <c r="M17" s="66"/>
      <c r="N17" s="66"/>
      <c r="O17">
        <v>2991</v>
      </c>
      <c r="P17" s="64">
        <v>5308</v>
      </c>
      <c r="R17">
        <f t="shared" si="0"/>
        <v>1495.5</v>
      </c>
      <c r="S17" s="64">
        <f t="shared" si="0"/>
        <v>2654</v>
      </c>
    </row>
    <row r="18" spans="1:26" ht="14.6" x14ac:dyDescent="0.4">
      <c r="A18" s="64">
        <v>9</v>
      </c>
      <c r="B18" s="64">
        <v>6331</v>
      </c>
      <c r="C18" s="64">
        <v>6331</v>
      </c>
      <c r="D18" s="66"/>
      <c r="E18" s="66"/>
      <c r="F18" s="66"/>
      <c r="G18" s="67"/>
      <c r="H18" s="66"/>
      <c r="I18" s="67"/>
      <c r="J18" s="66"/>
      <c r="K18" s="67">
        <f>$B18</f>
        <v>6331</v>
      </c>
      <c r="L18" s="66">
        <f>$B18</f>
        <v>6331</v>
      </c>
      <c r="M18" s="66">
        <f>$B18</f>
        <v>6331</v>
      </c>
      <c r="N18" s="66"/>
    </row>
    <row r="19" spans="1:26" ht="14.6" x14ac:dyDescent="0.4">
      <c r="A19" s="64">
        <v>10</v>
      </c>
      <c r="B19" s="64">
        <v>5609</v>
      </c>
      <c r="C19" s="92">
        <v>5608</v>
      </c>
      <c r="D19" s="66"/>
      <c r="E19" s="66"/>
      <c r="F19" s="66"/>
      <c r="G19" s="67"/>
      <c r="H19" s="66"/>
      <c r="I19" s="67"/>
      <c r="J19" s="66"/>
      <c r="K19" s="67"/>
      <c r="L19" s="66">
        <f>$B19</f>
        <v>5609</v>
      </c>
      <c r="M19" s="66">
        <f>$B19</f>
        <v>5609</v>
      </c>
      <c r="N19" s="66">
        <f>$B19</f>
        <v>5609</v>
      </c>
    </row>
    <row r="20" spans="1:26" ht="14.6" x14ac:dyDescent="0.4">
      <c r="A20" t="s">
        <v>301</v>
      </c>
      <c r="B20" s="64">
        <v>96136</v>
      </c>
      <c r="C20" s="65">
        <f t="shared" ref="C20:N20" si="1">SUM(C10:C19)</f>
        <v>96121</v>
      </c>
      <c r="D20" s="66">
        <f t="shared" si="1"/>
        <v>6665</v>
      </c>
      <c r="E20" s="66">
        <f t="shared" si="1"/>
        <v>18104</v>
      </c>
      <c r="F20" s="66">
        <f t="shared" si="1"/>
        <v>26163</v>
      </c>
      <c r="G20" s="67">
        <f t="shared" si="1"/>
        <v>36592</v>
      </c>
      <c r="H20" s="66">
        <f t="shared" si="1"/>
        <v>30445</v>
      </c>
      <c r="I20" s="67">
        <f t="shared" si="1"/>
        <v>37128</v>
      </c>
      <c r="J20" s="66">
        <f t="shared" si="1"/>
        <v>24075</v>
      </c>
      <c r="K20" s="67">
        <f t="shared" si="1"/>
        <v>27254</v>
      </c>
      <c r="L20" s="66">
        <f t="shared" si="1"/>
        <v>17365</v>
      </c>
      <c r="M20" s="66">
        <f t="shared" si="1"/>
        <v>11940</v>
      </c>
      <c r="N20" s="66">
        <f t="shared" si="1"/>
        <v>5609</v>
      </c>
    </row>
    <row r="21" spans="1:26" x14ac:dyDescent="0.3">
      <c r="A21" t="s">
        <v>302</v>
      </c>
      <c r="C21" s="65">
        <v>98584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5">
        <f>SUM(O10:O20)</f>
        <v>86166</v>
      </c>
      <c r="P21" s="65">
        <f>SUM(P10:P20)</f>
        <v>86166</v>
      </c>
    </row>
    <row r="22" spans="1:26" x14ac:dyDescent="0.3">
      <c r="A22" t="s">
        <v>297</v>
      </c>
      <c r="D22" s="139">
        <v>4000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1"/>
    </row>
    <row r="23" spans="1:26" ht="14.6" x14ac:dyDescent="0.4">
      <c r="A23" s="92" t="s">
        <v>303</v>
      </c>
      <c r="B23" s="92"/>
      <c r="C23" s="92"/>
      <c r="D23" s="120">
        <f>'FINAL Stacks 3 4 5'!I137</f>
        <v>421370.22913604346</v>
      </c>
      <c r="E23" s="121"/>
      <c r="F23" s="121"/>
      <c r="G23" s="120">
        <f>'FINAL Stacks 3 4 5'!J137</f>
        <v>508330.59857048473</v>
      </c>
      <c r="H23" s="121"/>
      <c r="I23" s="120">
        <f>'Stacks 5 6 7'!J121</f>
        <v>500222.70253682707</v>
      </c>
      <c r="J23" s="121"/>
      <c r="K23" s="120">
        <f>'Stacks 7 8 9'!J121</f>
        <v>470365.36417526763</v>
      </c>
      <c r="L23" s="121"/>
      <c r="M23" s="121"/>
      <c r="N23" s="121"/>
      <c r="P23" s="64"/>
      <c r="Q23" s="64"/>
      <c r="R23" s="64"/>
      <c r="S23" s="64"/>
    </row>
    <row r="24" spans="1:26" ht="15" thickBot="1" x14ac:dyDescent="0.45">
      <c r="A24" s="92" t="s">
        <v>304</v>
      </c>
      <c r="B24" s="39"/>
      <c r="C24" s="40"/>
      <c r="D24"/>
      <c r="F24" s="92"/>
      <c r="G24" s="92">
        <f>'FINAL Stacks 3 4 5'!N137</f>
        <v>518913.21762564505</v>
      </c>
    </row>
    <row r="25" spans="1:26" ht="15" thickBot="1" x14ac:dyDescent="0.45">
      <c r="A25" s="92" t="s">
        <v>305</v>
      </c>
      <c r="B25" s="39"/>
      <c r="C25" s="40"/>
      <c r="D25"/>
      <c r="G25" s="93">
        <f>'FINAL Stacks 3 4 5'!N147</f>
        <v>537918.21762564499</v>
      </c>
    </row>
    <row r="26" spans="1:26" ht="14.6" x14ac:dyDescent="0.4">
      <c r="A26" s="65" t="s">
        <v>306</v>
      </c>
      <c r="B26" s="64" t="s">
        <v>307</v>
      </c>
      <c r="C26" s="40"/>
      <c r="D26"/>
      <c r="L26" s="114" t="s">
        <v>308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x14ac:dyDescent="0.3">
      <c r="A27" s="40"/>
      <c r="B27" s="65" t="s">
        <v>309</v>
      </c>
      <c r="D27"/>
    </row>
    <row r="28" spans="1:26" x14ac:dyDescent="0.3">
      <c r="A28" s="40"/>
      <c r="B28" s="40"/>
      <c r="D28"/>
    </row>
    <row r="29" spans="1:26" x14ac:dyDescent="0.3">
      <c r="A29" s="40"/>
      <c r="B29" s="40"/>
      <c r="D29"/>
    </row>
    <row r="54" spans="2:3" x14ac:dyDescent="0.3">
      <c r="B54">
        <v>1</v>
      </c>
      <c r="C54">
        <f>D23</f>
        <v>421370.22913604346</v>
      </c>
    </row>
    <row r="55" spans="2:3" x14ac:dyDescent="0.3">
      <c r="B55" s="38" t="s">
        <v>290</v>
      </c>
      <c r="C55">
        <f>G23</f>
        <v>508330.59857048473</v>
      </c>
    </row>
    <row r="56" spans="2:3" x14ac:dyDescent="0.3">
      <c r="B56" s="38" t="s">
        <v>292</v>
      </c>
      <c r="C56">
        <f>I23</f>
        <v>500222.70253682707</v>
      </c>
    </row>
    <row r="57" spans="2:3" x14ac:dyDescent="0.3">
      <c r="B57" s="38" t="s">
        <v>294</v>
      </c>
      <c r="C57">
        <f>K23</f>
        <v>470365.36417526763</v>
      </c>
    </row>
  </sheetData>
  <mergeCells count="2">
    <mergeCell ref="D8:N8"/>
    <mergeCell ref="D22:N2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W15"/>
  <sheetViews>
    <sheetView zoomScale="70" zoomScaleNormal="70" workbookViewId="0"/>
  </sheetViews>
  <sheetFormatPr defaultColWidth="9.15234375" defaultRowHeight="14.15" x14ac:dyDescent="0.35"/>
  <cols>
    <col min="1" max="1" width="9.15234375" style="23"/>
    <col min="2" max="2" width="46" style="23" customWidth="1"/>
    <col min="3" max="16384" width="9.15234375" style="23"/>
  </cols>
  <sheetData>
    <row r="3" spans="1:23" x14ac:dyDescent="0.35">
      <c r="E3" s="23">
        <v>1</v>
      </c>
      <c r="F3" s="23">
        <v>2</v>
      </c>
      <c r="G3" s="23">
        <v>3</v>
      </c>
      <c r="H3" s="23">
        <v>4</v>
      </c>
      <c r="I3" s="23">
        <v>5</v>
      </c>
      <c r="J3" s="23">
        <v>6</v>
      </c>
      <c r="K3" s="23">
        <v>7</v>
      </c>
      <c r="L3" s="23">
        <v>8</v>
      </c>
      <c r="M3" s="23">
        <v>9</v>
      </c>
      <c r="N3" s="23">
        <v>10</v>
      </c>
      <c r="O3" s="23">
        <v>11</v>
      </c>
      <c r="P3" s="23">
        <v>12</v>
      </c>
      <c r="Q3" s="76"/>
      <c r="R3" s="76"/>
      <c r="S3" s="76"/>
      <c r="T3" s="76"/>
      <c r="U3" s="76"/>
      <c r="V3" s="76"/>
      <c r="W3" s="76"/>
    </row>
    <row r="4" spans="1:23" ht="28.3" x14ac:dyDescent="0.35">
      <c r="E4" s="35" t="s">
        <v>310</v>
      </c>
      <c r="F4" s="35" t="s">
        <v>311</v>
      </c>
      <c r="G4" s="35" t="s">
        <v>312</v>
      </c>
      <c r="H4" s="35" t="s">
        <v>313</v>
      </c>
      <c r="I4" s="35" t="s">
        <v>314</v>
      </c>
      <c r="J4" s="35" t="s">
        <v>315</v>
      </c>
      <c r="K4" s="35" t="s">
        <v>316</v>
      </c>
      <c r="L4" s="35" t="s">
        <v>317</v>
      </c>
      <c r="M4" s="35" t="s">
        <v>318</v>
      </c>
      <c r="N4" s="35" t="s">
        <v>319</v>
      </c>
      <c r="O4" s="35" t="s">
        <v>320</v>
      </c>
      <c r="P4" s="35" t="s">
        <v>321</v>
      </c>
      <c r="Q4" s="76"/>
      <c r="R4" s="76"/>
      <c r="S4" s="76"/>
      <c r="T4" s="76"/>
      <c r="U4" s="76"/>
      <c r="V4" s="76"/>
      <c r="W4" s="76"/>
    </row>
    <row r="5" spans="1:23" x14ac:dyDescent="0.35">
      <c r="Q5" s="76"/>
      <c r="R5" s="76"/>
      <c r="S5" s="76"/>
      <c r="T5" s="76"/>
      <c r="U5" s="76"/>
      <c r="V5" s="76"/>
      <c r="W5" s="76"/>
    </row>
    <row r="6" spans="1:23" x14ac:dyDescent="0.35">
      <c r="A6" s="23" t="s">
        <v>322</v>
      </c>
      <c r="Q6" s="76"/>
      <c r="R6" s="76"/>
      <c r="S6" s="76"/>
      <c r="T6" s="76"/>
      <c r="U6" s="76"/>
      <c r="V6" s="76"/>
      <c r="W6" s="76"/>
    </row>
    <row r="7" spans="1:23" x14ac:dyDescent="0.35">
      <c r="B7" s="23" t="s">
        <v>323</v>
      </c>
      <c r="E7" s="23">
        <v>2.5</v>
      </c>
      <c r="F7" s="23">
        <v>2.5</v>
      </c>
      <c r="G7" s="23">
        <v>2.5</v>
      </c>
      <c r="H7" s="23">
        <v>2.5</v>
      </c>
      <c r="I7" s="23">
        <v>2.5</v>
      </c>
      <c r="J7" s="23">
        <v>2.5</v>
      </c>
      <c r="K7" s="23">
        <v>2.5</v>
      </c>
      <c r="L7" s="23">
        <v>2.5</v>
      </c>
      <c r="M7" s="23">
        <v>2.5</v>
      </c>
      <c r="N7" s="23">
        <v>2.5</v>
      </c>
      <c r="O7" s="23">
        <v>2.5</v>
      </c>
      <c r="P7" s="23">
        <v>2.5</v>
      </c>
      <c r="Q7" s="76"/>
      <c r="R7" s="76"/>
      <c r="S7" s="76"/>
      <c r="T7" s="76"/>
      <c r="U7" s="76"/>
      <c r="V7" s="76"/>
      <c r="W7" s="76"/>
    </row>
    <row r="8" spans="1:23" x14ac:dyDescent="0.35">
      <c r="B8" s="23" t="s">
        <v>324</v>
      </c>
      <c r="E8" s="23">
        <f>65*8</f>
        <v>520</v>
      </c>
      <c r="F8" s="23">
        <f t="shared" ref="F8:P8" si="0">65*8</f>
        <v>520</v>
      </c>
      <c r="G8" s="23">
        <f t="shared" si="0"/>
        <v>520</v>
      </c>
      <c r="H8" s="23">
        <f t="shared" si="0"/>
        <v>520</v>
      </c>
      <c r="I8" s="23">
        <f t="shared" si="0"/>
        <v>520</v>
      </c>
      <c r="J8" s="23">
        <f t="shared" si="0"/>
        <v>520</v>
      </c>
      <c r="K8" s="23">
        <f t="shared" si="0"/>
        <v>520</v>
      </c>
      <c r="L8" s="23">
        <f t="shared" si="0"/>
        <v>520</v>
      </c>
      <c r="M8" s="23">
        <f t="shared" si="0"/>
        <v>520</v>
      </c>
      <c r="N8" s="23">
        <f t="shared" si="0"/>
        <v>520</v>
      </c>
      <c r="O8" s="23">
        <f t="shared" si="0"/>
        <v>520</v>
      </c>
      <c r="P8" s="23">
        <f t="shared" si="0"/>
        <v>520</v>
      </c>
      <c r="Q8" s="76"/>
      <c r="R8" s="76"/>
      <c r="S8" s="76"/>
      <c r="T8" s="76"/>
      <c r="U8" s="76"/>
      <c r="V8" s="76"/>
      <c r="W8" s="76"/>
    </row>
    <row r="9" spans="1:23" x14ac:dyDescent="0.35">
      <c r="B9" s="23" t="s">
        <v>325</v>
      </c>
      <c r="E9" s="23">
        <f>E8*E7</f>
        <v>1300</v>
      </c>
      <c r="F9" s="23">
        <f t="shared" ref="F9:P9" si="1">F8*F7</f>
        <v>1300</v>
      </c>
      <c r="G9" s="23">
        <f t="shared" si="1"/>
        <v>1300</v>
      </c>
      <c r="H9" s="23">
        <f t="shared" si="1"/>
        <v>1300</v>
      </c>
      <c r="I9" s="23">
        <f t="shared" si="1"/>
        <v>1300</v>
      </c>
      <c r="J9" s="23">
        <f t="shared" si="1"/>
        <v>1300</v>
      </c>
      <c r="K9" s="23">
        <f t="shared" si="1"/>
        <v>1300</v>
      </c>
      <c r="L9" s="23">
        <f t="shared" si="1"/>
        <v>1300</v>
      </c>
      <c r="M9" s="23">
        <f t="shared" si="1"/>
        <v>1300</v>
      </c>
      <c r="N9" s="23">
        <f t="shared" si="1"/>
        <v>1300</v>
      </c>
      <c r="O9" s="23">
        <f t="shared" si="1"/>
        <v>1300</v>
      </c>
      <c r="P9" s="23">
        <f t="shared" si="1"/>
        <v>1300</v>
      </c>
      <c r="Q9" s="76"/>
      <c r="R9" s="76"/>
      <c r="S9" s="76"/>
      <c r="T9" s="76"/>
      <c r="U9" s="76"/>
      <c r="V9" s="76"/>
      <c r="W9" s="76"/>
    </row>
    <row r="10" spans="1:23" x14ac:dyDescent="0.35">
      <c r="B10" s="23" t="s">
        <v>326</v>
      </c>
      <c r="E10" s="24">
        <f>65*2*0.63+8</f>
        <v>89.9</v>
      </c>
      <c r="F10" s="24">
        <f t="shared" ref="F10:P10" si="2">65*2*0.63+8</f>
        <v>89.9</v>
      </c>
      <c r="G10" s="24">
        <f t="shared" si="2"/>
        <v>89.9</v>
      </c>
      <c r="H10" s="24">
        <f t="shared" si="2"/>
        <v>89.9</v>
      </c>
      <c r="I10" s="24">
        <f t="shared" si="2"/>
        <v>89.9</v>
      </c>
      <c r="J10" s="24">
        <f t="shared" si="2"/>
        <v>89.9</v>
      </c>
      <c r="K10" s="24">
        <f t="shared" si="2"/>
        <v>89.9</v>
      </c>
      <c r="L10" s="24">
        <f t="shared" si="2"/>
        <v>89.9</v>
      </c>
      <c r="M10" s="24">
        <f t="shared" si="2"/>
        <v>89.9</v>
      </c>
      <c r="N10" s="24">
        <f t="shared" si="2"/>
        <v>89.9</v>
      </c>
      <c r="O10" s="24">
        <f t="shared" si="2"/>
        <v>89.9</v>
      </c>
      <c r="P10" s="24">
        <f t="shared" si="2"/>
        <v>89.9</v>
      </c>
      <c r="Q10" s="76"/>
      <c r="R10" s="76"/>
      <c r="S10" s="76"/>
      <c r="T10" s="76"/>
      <c r="U10" s="76"/>
      <c r="V10" s="76"/>
      <c r="W10" s="76"/>
    </row>
    <row r="11" spans="1:23" x14ac:dyDescent="0.35">
      <c r="B11" s="23" t="s">
        <v>327</v>
      </c>
      <c r="F11" s="23">
        <v>4</v>
      </c>
      <c r="H11" s="23">
        <v>4</v>
      </c>
      <c r="I11" s="23">
        <v>4</v>
      </c>
      <c r="J11" s="23">
        <v>4</v>
      </c>
      <c r="K11" s="23">
        <v>4</v>
      </c>
      <c r="L11" s="23">
        <v>4</v>
      </c>
      <c r="M11" s="23">
        <v>4</v>
      </c>
      <c r="N11" s="23">
        <v>4</v>
      </c>
      <c r="O11" s="23">
        <v>4</v>
      </c>
      <c r="P11" s="23">
        <v>4</v>
      </c>
      <c r="Q11" s="76"/>
      <c r="R11" s="76"/>
      <c r="S11" s="76"/>
      <c r="T11" s="76"/>
      <c r="U11" s="76"/>
      <c r="V11" s="76"/>
      <c r="W11" s="76"/>
    </row>
    <row r="12" spans="1:23" x14ac:dyDescent="0.35">
      <c r="B12" s="23" t="s">
        <v>328</v>
      </c>
      <c r="F12" s="23">
        <v>95</v>
      </c>
      <c r="H12" s="23">
        <v>95</v>
      </c>
      <c r="I12" s="23">
        <v>95</v>
      </c>
      <c r="J12" s="23">
        <v>95</v>
      </c>
      <c r="K12" s="23">
        <v>95</v>
      </c>
      <c r="L12" s="23">
        <v>95</v>
      </c>
      <c r="M12" s="23">
        <v>95</v>
      </c>
      <c r="N12" s="23">
        <v>95</v>
      </c>
      <c r="O12" s="23">
        <v>95</v>
      </c>
      <c r="P12" s="23">
        <v>95</v>
      </c>
      <c r="Q12" s="76"/>
      <c r="R12" s="76"/>
      <c r="S12" s="76"/>
      <c r="T12" s="76"/>
      <c r="U12" s="76"/>
      <c r="V12" s="76"/>
      <c r="W12" s="76"/>
    </row>
    <row r="13" spans="1:23" x14ac:dyDescent="0.35">
      <c r="B13" s="23" t="s">
        <v>329</v>
      </c>
      <c r="F13" s="23">
        <f>F12*F11</f>
        <v>380</v>
      </c>
      <c r="H13" s="23">
        <f t="shared" ref="H13:L13" si="3">H12*H11</f>
        <v>380</v>
      </c>
      <c r="I13" s="23">
        <v>380</v>
      </c>
      <c r="J13" s="23">
        <f t="shared" si="3"/>
        <v>380</v>
      </c>
      <c r="K13" s="23">
        <v>380</v>
      </c>
      <c r="L13" s="23">
        <f t="shared" si="3"/>
        <v>380</v>
      </c>
      <c r="M13" s="23">
        <v>380</v>
      </c>
      <c r="N13" s="23">
        <f t="shared" ref="N13" si="4">N12*N11</f>
        <v>380</v>
      </c>
      <c r="O13" s="23">
        <v>380</v>
      </c>
      <c r="P13" s="23">
        <f t="shared" ref="P13" si="5">P12*P11</f>
        <v>380</v>
      </c>
      <c r="Q13" s="76"/>
      <c r="R13" s="76"/>
      <c r="S13" s="76"/>
      <c r="T13" s="76"/>
      <c r="U13" s="76"/>
      <c r="V13" s="76"/>
      <c r="W13" s="76"/>
    </row>
    <row r="14" spans="1:23" x14ac:dyDescent="0.35">
      <c r="B14" s="23" t="s">
        <v>330</v>
      </c>
      <c r="E14" s="24">
        <f>SUM(E9,E10,E13)</f>
        <v>1389.9</v>
      </c>
      <c r="F14" s="24">
        <f t="shared" ref="F14:H14" si="6">SUM(F9,F10,F13)</f>
        <v>1769.9</v>
      </c>
      <c r="G14" s="24">
        <f t="shared" si="6"/>
        <v>1389.9</v>
      </c>
      <c r="H14" s="24">
        <f t="shared" si="6"/>
        <v>1769.9</v>
      </c>
      <c r="I14" s="77"/>
      <c r="J14" s="24">
        <f t="shared" ref="J14:N14" si="7">SUM(J9,J10,K13)</f>
        <v>1769.9</v>
      </c>
      <c r="K14" s="77"/>
      <c r="L14" s="24">
        <f t="shared" si="7"/>
        <v>1769.9</v>
      </c>
      <c r="M14" s="77"/>
      <c r="N14" s="24">
        <f t="shared" si="7"/>
        <v>1769.9</v>
      </c>
      <c r="O14" s="77"/>
      <c r="P14" s="24">
        <v>1770</v>
      </c>
      <c r="Q14" s="76"/>
      <c r="R14" s="76"/>
      <c r="S14" s="76"/>
      <c r="T14" s="76"/>
      <c r="U14" s="76"/>
      <c r="V14" s="76"/>
      <c r="W14" s="76"/>
    </row>
    <row r="15" spans="1:23" x14ac:dyDescent="0.35">
      <c r="B15" s="75" t="s">
        <v>331</v>
      </c>
      <c r="C15" s="78">
        <f>SUM(E14:P14)</f>
        <v>13399.3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U20"/>
  <sheetViews>
    <sheetView zoomScale="70" zoomScaleNormal="70" workbookViewId="0"/>
  </sheetViews>
  <sheetFormatPr defaultColWidth="9.15234375" defaultRowHeight="14.15" x14ac:dyDescent="0.35"/>
  <cols>
    <col min="1" max="1" width="9.15234375" style="23"/>
    <col min="2" max="2" width="31.61328125" style="23" customWidth="1"/>
    <col min="3" max="3" width="9.15234375" style="23"/>
    <col min="4" max="4" width="13.3828125" style="23" bestFit="1" customWidth="1"/>
    <col min="5" max="16384" width="9.15234375" style="23"/>
  </cols>
  <sheetData>
    <row r="3" spans="1:21" x14ac:dyDescent="0.35">
      <c r="E3" s="23">
        <v>1</v>
      </c>
      <c r="F3" s="23">
        <v>2</v>
      </c>
      <c r="G3" s="23">
        <v>3</v>
      </c>
      <c r="H3" s="23">
        <v>4</v>
      </c>
      <c r="I3" s="23">
        <v>5</v>
      </c>
      <c r="J3" s="23">
        <v>6</v>
      </c>
      <c r="K3" s="23">
        <v>7</v>
      </c>
      <c r="L3" s="23">
        <v>8</v>
      </c>
      <c r="M3" s="23">
        <v>9</v>
      </c>
      <c r="N3" s="23">
        <v>10</v>
      </c>
      <c r="O3" s="79"/>
      <c r="P3" s="79"/>
      <c r="Q3" s="79"/>
      <c r="R3" s="79"/>
      <c r="S3" s="79"/>
      <c r="T3" s="79"/>
      <c r="U3" s="79"/>
    </row>
    <row r="4" spans="1:21" x14ac:dyDescent="0.35">
      <c r="E4" s="23" t="s">
        <v>332</v>
      </c>
      <c r="F4" s="23" t="s">
        <v>333</v>
      </c>
      <c r="G4" s="23" t="s">
        <v>334</v>
      </c>
      <c r="H4" s="23" t="s">
        <v>335</v>
      </c>
      <c r="I4" s="23" t="s">
        <v>336</v>
      </c>
      <c r="J4" s="23" t="s">
        <v>337</v>
      </c>
      <c r="K4" s="23" t="s">
        <v>338</v>
      </c>
      <c r="L4" s="23" t="s">
        <v>339</v>
      </c>
      <c r="M4" s="23" t="s">
        <v>340</v>
      </c>
      <c r="N4" s="23" t="s">
        <v>341</v>
      </c>
      <c r="O4" s="79"/>
      <c r="P4" s="79"/>
      <c r="Q4" s="79"/>
      <c r="R4" s="79"/>
      <c r="S4" s="79"/>
      <c r="T4" s="79"/>
      <c r="U4" s="79"/>
    </row>
    <row r="5" spans="1:21" x14ac:dyDescent="0.35">
      <c r="A5" s="23" t="s">
        <v>342</v>
      </c>
      <c r="O5" s="79"/>
      <c r="P5" s="79"/>
      <c r="Q5" s="79"/>
      <c r="R5" s="79"/>
      <c r="S5" s="79"/>
      <c r="T5" s="79"/>
      <c r="U5" s="79"/>
    </row>
    <row r="6" spans="1:21" x14ac:dyDescent="0.35">
      <c r="B6" s="23" t="s">
        <v>343</v>
      </c>
      <c r="E6" s="23">
        <v>8</v>
      </c>
      <c r="F6" s="23">
        <v>8</v>
      </c>
      <c r="G6" s="23">
        <v>8</v>
      </c>
      <c r="H6" s="23">
        <v>8</v>
      </c>
      <c r="I6" s="23">
        <v>8</v>
      </c>
      <c r="J6" s="23">
        <v>8</v>
      </c>
      <c r="K6" s="23">
        <v>8</v>
      </c>
      <c r="L6" s="23">
        <v>8</v>
      </c>
      <c r="M6" s="23">
        <v>8</v>
      </c>
      <c r="N6" s="23">
        <v>8</v>
      </c>
      <c r="O6" s="79"/>
      <c r="P6" s="79"/>
      <c r="Q6" s="79"/>
      <c r="R6" s="79"/>
      <c r="S6" s="79"/>
      <c r="T6" s="79"/>
      <c r="U6" s="79"/>
    </row>
    <row r="7" spans="1:21" x14ac:dyDescent="0.35">
      <c r="B7" s="23" t="s">
        <v>324</v>
      </c>
      <c r="E7" s="23">
        <v>30</v>
      </c>
      <c r="F7" s="23">
        <v>30</v>
      </c>
      <c r="G7" s="23">
        <v>30</v>
      </c>
      <c r="H7" s="23">
        <v>30</v>
      </c>
      <c r="I7" s="23">
        <v>30</v>
      </c>
      <c r="J7" s="23">
        <v>30</v>
      </c>
      <c r="K7" s="23">
        <v>30</v>
      </c>
      <c r="L7" s="23">
        <v>30</v>
      </c>
      <c r="M7" s="23">
        <v>30</v>
      </c>
      <c r="N7" s="23">
        <v>30</v>
      </c>
      <c r="O7" s="79"/>
      <c r="P7" s="79"/>
      <c r="Q7" s="79"/>
      <c r="R7" s="79"/>
      <c r="S7" s="79"/>
      <c r="T7" s="79"/>
      <c r="U7" s="79"/>
    </row>
    <row r="8" spans="1:21" x14ac:dyDescent="0.35">
      <c r="B8" s="23" t="s">
        <v>344</v>
      </c>
      <c r="E8" s="23">
        <f>E7*E6</f>
        <v>240</v>
      </c>
      <c r="F8" s="23">
        <f t="shared" ref="F8:N8" si="0">F7*F6</f>
        <v>240</v>
      </c>
      <c r="G8" s="23">
        <f t="shared" si="0"/>
        <v>240</v>
      </c>
      <c r="H8" s="23">
        <f t="shared" si="0"/>
        <v>240</v>
      </c>
      <c r="I8" s="23">
        <f t="shared" si="0"/>
        <v>240</v>
      </c>
      <c r="J8" s="23">
        <f t="shared" si="0"/>
        <v>240</v>
      </c>
      <c r="K8" s="23">
        <f t="shared" si="0"/>
        <v>240</v>
      </c>
      <c r="L8" s="23">
        <f t="shared" si="0"/>
        <v>240</v>
      </c>
      <c r="M8" s="23">
        <f t="shared" si="0"/>
        <v>240</v>
      </c>
      <c r="N8" s="23">
        <f t="shared" si="0"/>
        <v>240</v>
      </c>
      <c r="O8" s="79"/>
      <c r="P8" s="79"/>
      <c r="Q8" s="79"/>
      <c r="R8" s="79"/>
      <c r="S8" s="79"/>
      <c r="T8" s="79"/>
      <c r="U8" s="79"/>
    </row>
    <row r="9" spans="1:21" x14ac:dyDescent="0.35">
      <c r="B9" s="23" t="s">
        <v>345</v>
      </c>
      <c r="E9" s="23">
        <f>E8*0.05</f>
        <v>12</v>
      </c>
      <c r="F9" s="23">
        <f t="shared" ref="F9:N9" si="1">F8*0.05</f>
        <v>12</v>
      </c>
      <c r="G9" s="23">
        <f t="shared" si="1"/>
        <v>12</v>
      </c>
      <c r="H9" s="23">
        <f t="shared" si="1"/>
        <v>12</v>
      </c>
      <c r="I9" s="23">
        <f t="shared" si="1"/>
        <v>12</v>
      </c>
      <c r="J9" s="23">
        <f t="shared" si="1"/>
        <v>12</v>
      </c>
      <c r="K9" s="23">
        <f t="shared" si="1"/>
        <v>12</v>
      </c>
      <c r="L9" s="23">
        <f t="shared" si="1"/>
        <v>12</v>
      </c>
      <c r="M9" s="23">
        <f t="shared" si="1"/>
        <v>12</v>
      </c>
      <c r="N9" s="23">
        <f t="shared" si="1"/>
        <v>12</v>
      </c>
      <c r="O9" s="79"/>
      <c r="P9" s="79"/>
      <c r="Q9" s="79"/>
      <c r="R9" s="79"/>
      <c r="S9" s="79"/>
      <c r="T9" s="79"/>
      <c r="U9" s="79"/>
    </row>
    <row r="10" spans="1:21" x14ac:dyDescent="0.35">
      <c r="B10" s="23" t="s">
        <v>346</v>
      </c>
      <c r="E10" s="23">
        <f>SUM(E8:E9)</f>
        <v>252</v>
      </c>
      <c r="F10" s="23">
        <f t="shared" ref="F10:N10" si="2">SUM(F8:F9)</f>
        <v>252</v>
      </c>
      <c r="G10" s="23">
        <f t="shared" si="2"/>
        <v>252</v>
      </c>
      <c r="H10" s="23">
        <f t="shared" si="2"/>
        <v>252</v>
      </c>
      <c r="I10" s="23">
        <f t="shared" si="2"/>
        <v>252</v>
      </c>
      <c r="J10" s="23">
        <f t="shared" si="2"/>
        <v>252</v>
      </c>
      <c r="K10" s="23">
        <f t="shared" si="2"/>
        <v>252</v>
      </c>
      <c r="L10" s="23">
        <f t="shared" si="2"/>
        <v>252</v>
      </c>
      <c r="M10" s="23">
        <f t="shared" si="2"/>
        <v>252</v>
      </c>
      <c r="N10" s="23">
        <f t="shared" si="2"/>
        <v>252</v>
      </c>
      <c r="O10" s="79"/>
      <c r="P10" s="79"/>
      <c r="Q10" s="79"/>
      <c r="R10" s="79"/>
      <c r="S10" s="79"/>
      <c r="T10" s="79"/>
      <c r="U10" s="79"/>
    </row>
    <row r="11" spans="1:21" x14ac:dyDescent="0.35">
      <c r="B11" s="23" t="s">
        <v>347</v>
      </c>
      <c r="O11" s="79"/>
      <c r="P11" s="79"/>
      <c r="Q11" s="79"/>
      <c r="R11" s="79"/>
      <c r="S11" s="79"/>
      <c r="T11" s="79"/>
      <c r="U11" s="79"/>
    </row>
    <row r="12" spans="1:21" x14ac:dyDescent="0.35">
      <c r="B12" s="23" t="s">
        <v>348</v>
      </c>
      <c r="E12" s="23">
        <v>4</v>
      </c>
      <c r="F12" s="23">
        <v>4</v>
      </c>
      <c r="G12" s="23">
        <v>4</v>
      </c>
      <c r="H12" s="23">
        <v>2</v>
      </c>
      <c r="I12" s="23">
        <v>1</v>
      </c>
      <c r="J12" s="23">
        <v>1</v>
      </c>
      <c r="K12" s="23">
        <v>1</v>
      </c>
      <c r="L12" s="23">
        <v>1</v>
      </c>
      <c r="M12" s="23">
        <v>1</v>
      </c>
      <c r="N12" s="23">
        <v>1</v>
      </c>
      <c r="O12" s="79"/>
      <c r="P12" s="79"/>
      <c r="Q12" s="79"/>
      <c r="R12" s="79"/>
      <c r="S12" s="79"/>
      <c r="T12" s="79"/>
      <c r="U12" s="79"/>
    </row>
    <row r="13" spans="1:21" x14ac:dyDescent="0.35">
      <c r="B13" s="23" t="s">
        <v>349</v>
      </c>
      <c r="E13" s="23">
        <v>6</v>
      </c>
      <c r="F13" s="23">
        <v>6</v>
      </c>
      <c r="G13" s="23">
        <v>6</v>
      </c>
      <c r="H13" s="23">
        <v>6</v>
      </c>
      <c r="I13" s="23">
        <v>6</v>
      </c>
      <c r="J13" s="23">
        <v>6</v>
      </c>
      <c r="K13" s="23">
        <v>6</v>
      </c>
      <c r="L13" s="23">
        <v>4</v>
      </c>
      <c r="M13" s="23">
        <v>4</v>
      </c>
      <c r="N13" s="23">
        <v>4</v>
      </c>
      <c r="O13" s="79"/>
      <c r="P13" s="79"/>
      <c r="Q13" s="79"/>
      <c r="R13" s="79"/>
      <c r="S13" s="79"/>
      <c r="T13" s="79"/>
      <c r="U13" s="79"/>
    </row>
    <row r="14" spans="1:21" x14ac:dyDescent="0.35">
      <c r="B14" s="23" t="s">
        <v>350</v>
      </c>
      <c r="E14" s="24">
        <f>75*1.153</f>
        <v>86.475000000000009</v>
      </c>
      <c r="F14" s="24">
        <f t="shared" ref="F14:N14" si="3">75*1.153</f>
        <v>86.475000000000009</v>
      </c>
      <c r="G14" s="24">
        <f t="shared" si="3"/>
        <v>86.475000000000009</v>
      </c>
      <c r="H14" s="24">
        <f t="shared" si="3"/>
        <v>86.475000000000009</v>
      </c>
      <c r="I14" s="24">
        <f t="shared" si="3"/>
        <v>86.475000000000009</v>
      </c>
      <c r="J14" s="24">
        <f t="shared" si="3"/>
        <v>86.475000000000009</v>
      </c>
      <c r="K14" s="24">
        <f t="shared" si="3"/>
        <v>86.475000000000009</v>
      </c>
      <c r="L14" s="24">
        <f t="shared" si="3"/>
        <v>86.475000000000009</v>
      </c>
      <c r="M14" s="24">
        <f t="shared" si="3"/>
        <v>86.475000000000009</v>
      </c>
      <c r="N14" s="24">
        <f t="shared" si="3"/>
        <v>86.475000000000009</v>
      </c>
      <c r="O14" s="79"/>
      <c r="P14" s="79"/>
      <c r="Q14" s="79"/>
      <c r="R14" s="79"/>
      <c r="S14" s="79"/>
      <c r="T14" s="79"/>
      <c r="U14" s="79"/>
    </row>
    <row r="15" spans="1:21" x14ac:dyDescent="0.35">
      <c r="B15" s="23" t="s">
        <v>351</v>
      </c>
      <c r="E15" s="24">
        <f>E14*E13*E12</f>
        <v>2075.4</v>
      </c>
      <c r="F15" s="24">
        <f t="shared" ref="F15:N15" si="4">F14*F13*F12</f>
        <v>2075.4</v>
      </c>
      <c r="G15" s="24">
        <f t="shared" si="4"/>
        <v>2075.4</v>
      </c>
      <c r="H15" s="24">
        <f t="shared" si="4"/>
        <v>1037.7</v>
      </c>
      <c r="I15" s="24">
        <f t="shared" si="4"/>
        <v>518.85</v>
      </c>
      <c r="J15" s="24">
        <f t="shared" si="4"/>
        <v>518.85</v>
      </c>
      <c r="K15" s="24">
        <f t="shared" si="4"/>
        <v>518.85</v>
      </c>
      <c r="L15" s="24">
        <f t="shared" si="4"/>
        <v>345.90000000000003</v>
      </c>
      <c r="M15" s="24">
        <f t="shared" si="4"/>
        <v>345.90000000000003</v>
      </c>
      <c r="N15" s="24">
        <f t="shared" si="4"/>
        <v>345.90000000000003</v>
      </c>
      <c r="O15" s="79"/>
      <c r="P15" s="79"/>
      <c r="Q15" s="79"/>
      <c r="R15" s="79"/>
      <c r="S15" s="79"/>
      <c r="T15" s="79"/>
      <c r="U15" s="79"/>
    </row>
    <row r="16" spans="1:21" x14ac:dyDescent="0.35">
      <c r="B16" s="23" t="s">
        <v>352</v>
      </c>
      <c r="E16" s="24">
        <f>E12*50*1.153</f>
        <v>230.6</v>
      </c>
      <c r="F16" s="24">
        <f t="shared" ref="F16:N16" si="5">F12*50*1.153</f>
        <v>230.6</v>
      </c>
      <c r="G16" s="24">
        <f t="shared" si="5"/>
        <v>230.6</v>
      </c>
      <c r="H16" s="24">
        <f t="shared" si="5"/>
        <v>115.3</v>
      </c>
      <c r="I16" s="24">
        <f t="shared" si="5"/>
        <v>57.65</v>
      </c>
      <c r="J16" s="24">
        <f t="shared" si="5"/>
        <v>57.65</v>
      </c>
      <c r="K16" s="24">
        <f t="shared" si="5"/>
        <v>57.65</v>
      </c>
      <c r="L16" s="24">
        <f t="shared" si="5"/>
        <v>57.65</v>
      </c>
      <c r="M16" s="24">
        <f t="shared" si="5"/>
        <v>57.65</v>
      </c>
      <c r="N16" s="24">
        <f t="shared" si="5"/>
        <v>57.65</v>
      </c>
      <c r="O16" s="79"/>
      <c r="P16" s="79"/>
      <c r="Q16" s="79"/>
      <c r="R16" s="79"/>
      <c r="S16" s="79"/>
      <c r="T16" s="79"/>
      <c r="U16" s="79"/>
    </row>
    <row r="17" spans="2:21" x14ac:dyDescent="0.35">
      <c r="B17" s="23" t="s">
        <v>353</v>
      </c>
      <c r="E17" s="23">
        <f>65*5</f>
        <v>325</v>
      </c>
      <c r="F17" s="23">
        <f t="shared" ref="F17:N17" si="6">65*5</f>
        <v>325</v>
      </c>
      <c r="G17" s="23">
        <f t="shared" si="6"/>
        <v>325</v>
      </c>
      <c r="H17" s="23">
        <f t="shared" si="6"/>
        <v>325</v>
      </c>
      <c r="I17" s="23">
        <f t="shared" si="6"/>
        <v>325</v>
      </c>
      <c r="J17" s="23">
        <f t="shared" si="6"/>
        <v>325</v>
      </c>
      <c r="K17" s="23">
        <f t="shared" si="6"/>
        <v>325</v>
      </c>
      <c r="L17" s="23">
        <f t="shared" si="6"/>
        <v>325</v>
      </c>
      <c r="M17" s="23">
        <f t="shared" si="6"/>
        <v>325</v>
      </c>
      <c r="N17" s="23">
        <f t="shared" si="6"/>
        <v>325</v>
      </c>
      <c r="O17" s="79"/>
      <c r="P17" s="79"/>
      <c r="Q17" s="79"/>
      <c r="R17" s="79"/>
      <c r="S17" s="79"/>
      <c r="T17" s="79"/>
      <c r="U17" s="79"/>
    </row>
    <row r="18" spans="2:21" x14ac:dyDescent="0.35">
      <c r="B18" s="23" t="s">
        <v>354</v>
      </c>
      <c r="E18" s="23">
        <f>E17*E12</f>
        <v>1300</v>
      </c>
      <c r="F18" s="23">
        <f t="shared" ref="F18:N18" si="7">F17*F12</f>
        <v>1300</v>
      </c>
      <c r="G18" s="23">
        <f t="shared" si="7"/>
        <v>1300</v>
      </c>
      <c r="H18" s="23">
        <f t="shared" si="7"/>
        <v>650</v>
      </c>
      <c r="I18" s="23">
        <f t="shared" si="7"/>
        <v>325</v>
      </c>
      <c r="J18" s="23">
        <f t="shared" si="7"/>
        <v>325</v>
      </c>
      <c r="K18" s="23">
        <f t="shared" si="7"/>
        <v>325</v>
      </c>
      <c r="L18" s="23">
        <f t="shared" si="7"/>
        <v>325</v>
      </c>
      <c r="M18" s="23">
        <f t="shared" si="7"/>
        <v>325</v>
      </c>
      <c r="N18" s="23">
        <f t="shared" si="7"/>
        <v>325</v>
      </c>
      <c r="O18" s="79"/>
      <c r="P18" s="79"/>
      <c r="Q18" s="79"/>
      <c r="R18" s="79"/>
      <c r="S18" s="79"/>
      <c r="T18" s="79"/>
      <c r="U18" s="79"/>
    </row>
    <row r="19" spans="2:21" x14ac:dyDescent="0.35">
      <c r="B19" s="23" t="s">
        <v>355</v>
      </c>
      <c r="E19" s="24">
        <f>SUM(E10,E15,E16,E18)</f>
        <v>3858</v>
      </c>
      <c r="F19" s="24">
        <f t="shared" ref="F19:N19" si="8">SUM(F10,F15,F16,F18)</f>
        <v>3858</v>
      </c>
      <c r="G19" s="24">
        <f t="shared" si="8"/>
        <v>3858</v>
      </c>
      <c r="H19" s="24">
        <f t="shared" si="8"/>
        <v>2055</v>
      </c>
      <c r="I19" s="24">
        <f t="shared" si="8"/>
        <v>1153.5</v>
      </c>
      <c r="J19" s="24">
        <f t="shared" si="8"/>
        <v>1153.5</v>
      </c>
      <c r="K19" s="24">
        <f t="shared" si="8"/>
        <v>1153.5</v>
      </c>
      <c r="L19" s="24">
        <f t="shared" si="8"/>
        <v>980.55000000000007</v>
      </c>
      <c r="M19" s="24">
        <f t="shared" si="8"/>
        <v>980.55000000000007</v>
      </c>
      <c r="N19" s="24">
        <f t="shared" si="8"/>
        <v>980.55000000000007</v>
      </c>
      <c r="O19" s="79"/>
      <c r="P19" s="79"/>
      <c r="Q19" s="79"/>
      <c r="R19" s="79"/>
      <c r="S19" s="79"/>
      <c r="T19" s="79"/>
      <c r="U19" s="79"/>
    </row>
    <row r="20" spans="2:21" x14ac:dyDescent="0.35">
      <c r="B20" s="23" t="s">
        <v>356</v>
      </c>
      <c r="D20" s="80">
        <f>SUM(E19:O19)</f>
        <v>20031.149999999998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S9"/>
  <sheetViews>
    <sheetView tabSelected="1" workbookViewId="0">
      <selection activeCell="I24" sqref="I24"/>
    </sheetView>
  </sheetViews>
  <sheetFormatPr defaultRowHeight="12.45" x14ac:dyDescent="0.3"/>
  <cols>
    <col min="4" max="4" width="10.61328125" customWidth="1"/>
  </cols>
  <sheetData>
    <row r="2" spans="1:45" x14ac:dyDescent="0.3">
      <c r="A2" s="142" t="s">
        <v>357</v>
      </c>
      <c r="B2" s="143"/>
      <c r="C2" s="143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6">
        <v>31</v>
      </c>
      <c r="AJ2" s="86">
        <v>32</v>
      </c>
      <c r="AK2" s="86">
        <v>33</v>
      </c>
      <c r="AL2" s="86">
        <v>34</v>
      </c>
      <c r="AM2" s="86">
        <v>35</v>
      </c>
      <c r="AN2" s="86">
        <v>36</v>
      </c>
      <c r="AO2" s="86">
        <v>37</v>
      </c>
      <c r="AP2" s="86">
        <v>38</v>
      </c>
      <c r="AQ2" s="86">
        <v>39</v>
      </c>
      <c r="AR2" s="86">
        <v>40</v>
      </c>
    </row>
    <row r="3" spans="1:45" x14ac:dyDescent="0.3">
      <c r="E3" s="81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6" t="s">
        <v>358</v>
      </c>
      <c r="AJ3" s="86" t="s">
        <v>359</v>
      </c>
      <c r="AK3" s="86" t="s">
        <v>360</v>
      </c>
      <c r="AL3" s="86" t="s">
        <v>361</v>
      </c>
      <c r="AM3" s="86" t="s">
        <v>362</v>
      </c>
      <c r="AN3" s="86" t="s">
        <v>363</v>
      </c>
      <c r="AO3" s="86" t="s">
        <v>364</v>
      </c>
      <c r="AP3" s="86" t="s">
        <v>365</v>
      </c>
      <c r="AQ3" s="86" t="s">
        <v>366</v>
      </c>
      <c r="AR3" s="86" t="s">
        <v>367</v>
      </c>
      <c r="AS3" s="38"/>
    </row>
    <row r="4" spans="1:45" x14ac:dyDescent="0.3">
      <c r="A4" t="s">
        <v>342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6"/>
      <c r="AJ4" s="86"/>
      <c r="AK4" s="86"/>
      <c r="AL4" s="86"/>
      <c r="AM4" s="86"/>
      <c r="AN4" s="86"/>
      <c r="AO4" s="86"/>
      <c r="AP4" s="86"/>
      <c r="AQ4" s="86"/>
      <c r="AR4" s="86"/>
    </row>
    <row r="5" spans="1:45" x14ac:dyDescent="0.3">
      <c r="B5" s="38" t="s">
        <v>368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6">
        <v>1</v>
      </c>
      <c r="AJ5" s="86">
        <v>1</v>
      </c>
      <c r="AK5" s="86">
        <v>1</v>
      </c>
      <c r="AL5" s="86">
        <v>1</v>
      </c>
      <c r="AM5" s="86">
        <v>1</v>
      </c>
      <c r="AN5" s="86">
        <v>1</v>
      </c>
      <c r="AO5" s="86">
        <v>1</v>
      </c>
      <c r="AP5" s="86">
        <v>1</v>
      </c>
      <c r="AQ5" s="86">
        <v>1</v>
      </c>
      <c r="AR5" s="86">
        <v>1</v>
      </c>
    </row>
    <row r="6" spans="1:45" x14ac:dyDescent="0.3">
      <c r="B6" s="38" t="s">
        <v>369</v>
      </c>
      <c r="E6" s="83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6">
        <v>582</v>
      </c>
      <c r="AJ6" s="86">
        <v>582</v>
      </c>
      <c r="AK6" s="86">
        <v>582</v>
      </c>
      <c r="AL6" s="86">
        <v>582</v>
      </c>
      <c r="AM6" s="86">
        <v>582</v>
      </c>
      <c r="AN6" s="86">
        <v>582</v>
      </c>
      <c r="AO6" s="86">
        <v>582</v>
      </c>
      <c r="AP6" s="86">
        <v>582</v>
      </c>
      <c r="AQ6" s="86">
        <v>582</v>
      </c>
      <c r="AR6" s="86">
        <v>582</v>
      </c>
    </row>
    <row r="7" spans="1:45" x14ac:dyDescent="0.3">
      <c r="B7" t="s">
        <v>346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6">
        <f t="shared" ref="AI7:AR7" si="0">SUM(AI6:AI6)</f>
        <v>582</v>
      </c>
      <c r="AJ7" s="86">
        <f t="shared" si="0"/>
        <v>582</v>
      </c>
      <c r="AK7" s="86">
        <f t="shared" si="0"/>
        <v>582</v>
      </c>
      <c r="AL7" s="86">
        <f t="shared" si="0"/>
        <v>582</v>
      </c>
      <c r="AM7" s="86">
        <f t="shared" si="0"/>
        <v>582</v>
      </c>
      <c r="AN7" s="86">
        <f t="shared" si="0"/>
        <v>582</v>
      </c>
      <c r="AO7" s="86">
        <f t="shared" si="0"/>
        <v>582</v>
      </c>
      <c r="AP7" s="86">
        <f t="shared" si="0"/>
        <v>582</v>
      </c>
      <c r="AQ7" s="86">
        <f t="shared" si="0"/>
        <v>582</v>
      </c>
      <c r="AR7" s="86">
        <f t="shared" si="0"/>
        <v>582</v>
      </c>
    </row>
    <row r="8" spans="1:45" x14ac:dyDescent="0.3">
      <c r="B8" s="38"/>
    </row>
    <row r="9" spans="1:45" x14ac:dyDescent="0.3">
      <c r="B9" s="38" t="s">
        <v>370</v>
      </c>
      <c r="E9" s="85">
        <f>SUM(AI7:AR7)</f>
        <v>5820</v>
      </c>
    </row>
  </sheetData>
  <mergeCells count="1">
    <mergeCell ref="A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S9"/>
  <sheetViews>
    <sheetView zoomScale="70" zoomScaleNormal="70" workbookViewId="0"/>
  </sheetViews>
  <sheetFormatPr defaultColWidth="9.15234375" defaultRowHeight="12.45" x14ac:dyDescent="0.3"/>
  <cols>
    <col min="1" max="3" width="9.15234375" style="81"/>
    <col min="4" max="4" width="10.61328125" style="81" customWidth="1"/>
    <col min="5" max="16384" width="9.15234375" style="81"/>
  </cols>
  <sheetData>
    <row r="2" spans="1:45" x14ac:dyDescent="0.3">
      <c r="A2" s="144"/>
      <c r="B2" s="145"/>
      <c r="C2" s="145"/>
    </row>
    <row r="3" spans="1:45" x14ac:dyDescent="0.3"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</row>
    <row r="5" spans="1:45" x14ac:dyDescent="0.3">
      <c r="B5" s="82"/>
    </row>
    <row r="6" spans="1:45" x14ac:dyDescent="0.3">
      <c r="B6" s="82"/>
      <c r="E6" s="83"/>
    </row>
    <row r="8" spans="1:45" x14ac:dyDescent="0.3">
      <c r="B8" s="82"/>
    </row>
    <row r="9" spans="1:45" x14ac:dyDescent="0.3">
      <c r="B9" s="82"/>
      <c r="E9" s="84"/>
    </row>
  </sheetData>
  <mergeCells count="1">
    <mergeCell ref="A2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50a6c97-30ac-44b9-aec2-b4cd1d4ce171" xsi:nil="true"/>
    <lcf76f155ced4ddcb4097134ff3c332f xmlns="ae9c4738-ece7-4582-96e2-45098be39c7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1BDE77843D1A4EB29AB5DC38167747" ma:contentTypeVersion="17" ma:contentTypeDescription="Create a new document." ma:contentTypeScope="" ma:versionID="19ba5bc260ec8e221fecc6ba6096eb72">
  <xsd:schema xmlns:xsd="http://www.w3.org/2001/XMLSchema" xmlns:xs="http://www.w3.org/2001/XMLSchema" xmlns:p="http://schemas.microsoft.com/office/2006/metadata/properties" xmlns:ns2="ae9c4738-ece7-4582-96e2-45098be39c7e" xmlns:ns3="050a6c97-30ac-44b9-aec2-b4cd1d4ce171" targetNamespace="http://schemas.microsoft.com/office/2006/metadata/properties" ma:root="true" ma:fieldsID="ba520c71ba7c286fe5badb90aafa1f5b" ns2:_="" ns3:_="">
    <xsd:import namespace="ae9c4738-ece7-4582-96e2-45098be39c7e"/>
    <xsd:import namespace="050a6c97-30ac-44b9-aec2-b4cd1d4ce1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c4738-ece7-4582-96e2-45098be39c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1498337-7e30-403b-9cb7-066a9d3423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0a6c97-30ac-44b9-aec2-b4cd1d4ce17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d3ce18a-5d62-4719-aab7-7f7cb49dd77a}" ma:internalName="TaxCatchAll" ma:showField="CatchAllData" ma:web="050a6c97-30ac-44b9-aec2-b4cd1d4ce1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01102E-96C2-40D7-A4DB-75D0E4F06B39}">
  <ds:schemaRefs>
    <ds:schemaRef ds:uri="http://www.w3.org/XML/1998/namespace"/>
    <ds:schemaRef ds:uri="http://purl.org/dc/elements/1.1/"/>
    <ds:schemaRef ds:uri="ae9c4738-ece7-4582-96e2-45098be39c7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50a6c97-30ac-44b9-aec2-b4cd1d4ce171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89FFB2C-18C4-4C70-9A99-DAC09002DD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EF5255-C5A1-42A9-B5FB-7781017F3B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9c4738-ece7-4582-96e2-45098be39c7e"/>
    <ds:schemaRef ds:uri="050a6c97-30ac-44b9-aec2-b4cd1d4ce1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FINAL Stacks 3 4 5</vt:lpstr>
      <vt:lpstr>Stacks 5 6 7</vt:lpstr>
      <vt:lpstr>Stacks 7 8 9</vt:lpstr>
      <vt:lpstr>Summary</vt:lpstr>
      <vt:lpstr>GeotechRevised for 2017</vt:lpstr>
      <vt:lpstr>WaterRevised for 2017</vt:lpstr>
      <vt:lpstr>ECoW  </vt:lpstr>
      <vt:lpstr>LCoW </vt:lpstr>
    </vt:vector>
  </TitlesOfParts>
  <Manager/>
  <Company>Dalgleish Associates Ltd.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Cononish Bond Calc</dc:title>
  <dc:subject/>
  <dc:creator>William Booth</dc:creator>
  <cp:keywords/>
  <dc:description/>
  <cp:lastModifiedBy>Laura Baird</cp:lastModifiedBy>
  <cp:revision/>
  <cp:lastPrinted>2023-06-30T12:55:39Z</cp:lastPrinted>
  <dcterms:created xsi:type="dcterms:W3CDTF">2008-12-03T12:39:46Z</dcterms:created>
  <dcterms:modified xsi:type="dcterms:W3CDTF">2023-06-30T12:55:56Z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0x0101004D1BDE77843D1A4EB29AB5DC38167747</vt:lpwstr>
  </property>
  <property fmtid="{D5CDD505-2E9C-101B-9397-08002B2CF9AE}" pid="3" name="MediaServiceImageTags">
    <vt:lpwstr/>
  </property>
</Properties>
</file>